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Quadro Resumo" sheetId="1" state="visible" r:id="rId2"/>
    <sheet name="Dados" sheetId="2" state="hidden" r:id="rId3"/>
    <sheet name=" RS2-a" sheetId="3" state="visible" r:id="rId4"/>
    <sheet name="RS-b" sheetId="4" state="visible" r:id="rId5"/>
    <sheet name="RS2-c" sheetId="5" state="visible" r:id="rId6"/>
    <sheet name="RS2-d" sheetId="6" state="visible" r:id="rId7"/>
    <sheet name="MC" sheetId="7" state="visible" r:id="rId8"/>
    <sheet name="Insumos" sheetId="8" state="visible" r:id="rId9"/>
    <sheet name="VT" sheetId="9" state="visible" r:id="rId10"/>
    <sheet name="RS2-a" sheetId="10" state="hidden" r:id="rId11"/>
    <sheet name="RS2-b" sheetId="11" state="hidden" r:id="rId12"/>
  </sheets>
  <definedNames>
    <definedName function="false" hidden="false" localSheetId="0" name="_xlnm.Print_Area" vbProcedure="false">'Quadro Resumo'!$A$1:$T$62</definedName>
    <definedName function="false" hidden="false" localSheetId="9" name="_xlnm.Print_Area" vbProcedure="false">'RS2-a'!$A$1:$G$159</definedName>
    <definedName function="false" hidden="false" localSheetId="10" name="_xlnm.Print_Area" vbProcedure="false">'RS2-b'!$A$1:$G$159</definedName>
    <definedName function="false" hidden="false" localSheetId="8" name="_xlnm.Print_Area" vbProcedure="false">VT!$A$1:$E$58</definedName>
    <definedName function="false" hidden="false" name="COFINS" vbProcedure="false">#REF!</definedName>
    <definedName function="false" hidden="false" name="COFINSM" vbProcedure="false">#REF!</definedName>
    <definedName function="false" hidden="false" name="custos_indiretos" vbProcedure="false">#REF!</definedName>
    <definedName function="false" hidden="false" name="custos_indiretosM" vbProcedure="false">#REF!</definedName>
    <definedName function="false" hidden="false" name="Excel_BuiltIn_Print_Area_10" vbProcedure="false">"$#REF!.$A$1:$C$71"</definedName>
    <definedName function="false" hidden="false" name="Excel_BuiltIn_Print_Area_11" vbProcedure="false">"$#REF!.$A$1:$C$71"</definedName>
    <definedName function="false" hidden="false" name="Excel_BuiltIn_Print_Area_12" vbProcedure="false">"$#REF!.$A$1:$C$71"</definedName>
    <definedName function="false" hidden="false" name="Excel_BuiltIn_Print_Area_13" vbProcedure="false">"$#REF!.$A$1:$C$71"</definedName>
    <definedName function="false" hidden="false" name="Excel_BuiltIn_Print_Area_14" vbProcedure="false">"$#REF!.$A$1:$C$71"</definedName>
    <definedName function="false" hidden="false" name="Excel_BuiltIn_Print_Area_15" vbProcedure="false">"$#REF!.$A$1:$C$71"</definedName>
    <definedName function="false" hidden="false" name="Excel_BuiltIn_Print_Area_16" vbProcedure="false">"$#REF!.$A$1:$C$71"</definedName>
    <definedName function="false" hidden="false" name="Excel_BuiltIn_Print_Area_17" vbProcedure="false">"$#REF!.$A$1:$C$71"</definedName>
    <definedName function="false" hidden="false" name="Excel_BuiltIn_Print_Area_1_1" vbProcedure="false">"$#REF!.$A$2:$C$99"</definedName>
    <definedName function="false" hidden="false" name="Excel_BuiltIn_Print_Area_2" vbProcedure="false">"$#REF!.$A$1:$C$72"</definedName>
    <definedName function="false" hidden="false" name="Excel_BuiltIn_Print_Area_4" vbProcedure="false">"$#REF!.$A$1:$C$71"</definedName>
    <definedName function="false" hidden="false" name="Excel_BuiltIn_Print_Area_5" vbProcedure="false">"$#REF!.$A$1:$C$71"</definedName>
    <definedName function="false" hidden="false" name="Excel_BuiltIn_Print_Area_6" vbProcedure="false">"$#REF!.$A$1:$C$71"</definedName>
    <definedName function="false" hidden="false" name="Excel_BuiltIn_Print_Area_7" vbProcedure="false">"$#REF!.$A$1:$C$71"</definedName>
    <definedName function="false" hidden="false" name="Excel_BuiltIn_Print_Area_8" vbProcedure="false">"$#REF!.$A$1:$C$71"</definedName>
    <definedName function="false" hidden="false" name="Excel_BuiltIn_Print_Area_9" vbProcedure="false">"$#REF!.$A$1:$C$71"</definedName>
    <definedName function="false" hidden="false" name="indice_oco_afast_matern" vbProcedure="false">#REF!</definedName>
    <definedName function="false" hidden="false" name="indice_oco_demis" vbProcedure="false">#REF!</definedName>
    <definedName function="false" hidden="false" name="ISS" vbProcedure="false">#REF!</definedName>
    <definedName function="false" hidden="false" name="ISSM" vbProcedure="false">#REF!</definedName>
    <definedName function="false" hidden="false" name="lucro" vbProcedure="false">#REF!</definedName>
    <definedName function="false" hidden="false" name="lucroM" vbProcedure="false">#REF!</definedName>
    <definedName function="false" hidden="false" name="M1a4" vbProcedure="false">#REF!</definedName>
    <definedName function="false" hidden="false" name="M1a4M" vbProcedure="false">#REF!</definedName>
    <definedName function="false" hidden="false" name="M2_" vbProcedure="false">#REF!</definedName>
    <definedName function="false" hidden="false" name="M2_M" vbProcedure="false">#REF!</definedName>
    <definedName function="false" hidden="false" name="M3_" vbProcedure="false">#REF!</definedName>
    <definedName function="false" hidden="false" name="M3_M" vbProcedure="false">#REF!</definedName>
    <definedName function="false" hidden="false" name="M4_" vbProcedure="false">#REF!</definedName>
    <definedName function="false" hidden="false" name="M4_1" vbProcedure="false">#REF!</definedName>
    <definedName function="false" hidden="false" name="M4_1M" vbProcedure="false">#REF!</definedName>
    <definedName function="false" hidden="false" name="M4_2" vbProcedure="false">#REF!</definedName>
    <definedName function="false" hidden="false" name="M4_2M" vbProcedure="false">#REF!</definedName>
    <definedName function="false" hidden="false" name="M4_3" vbProcedure="false">#REF!</definedName>
    <definedName function="false" hidden="false" name="M4_3M" vbProcedure="false">#REF!</definedName>
    <definedName function="false" hidden="false" name="M4_4" vbProcedure="false">#REF!</definedName>
    <definedName function="false" hidden="false" name="M4_4M" vbProcedure="false">#REF!</definedName>
    <definedName function="false" hidden="false" name="M4_5" vbProcedure="false">#REF!</definedName>
    <definedName function="false" hidden="false" name="M4_5M" vbProcedure="false">#REF!</definedName>
    <definedName function="false" hidden="false" name="M4_6" vbProcedure="false">#REF!</definedName>
    <definedName function="false" hidden="false" name="M4_6M" vbProcedure="false">#REF!</definedName>
    <definedName function="false" hidden="false" name="M4_M" vbProcedure="false">#REF!</definedName>
    <definedName function="false" hidden="false" name="M5_" vbProcedure="false">#REF!</definedName>
    <definedName function="false" hidden="false" name="M5_M" vbProcedure="false">#REF!</definedName>
    <definedName function="false" hidden="false" name="num_dias_aus_doenca" vbProcedure="false">#REF!</definedName>
    <definedName function="false" hidden="false" name="num_dias_aus_legais" vbProcedure="false">#REF!</definedName>
    <definedName function="false" hidden="false" name="perc_encargosSociais" vbProcedure="false">#REF!</definedName>
    <definedName function="false" hidden="false" name="perc_encargosSociaisM" vbProcedure="false">#REF!</definedName>
    <definedName function="false" hidden="false" name="perc_FGTS" vbProcedure="false">#REF!</definedName>
    <definedName function="false" hidden="false" name="perc_FGTSM" vbProcedure="false">#REF!</definedName>
    <definedName function="false" hidden="false" name="perc_ocor_acid_trab" vbProcedure="false">#REF!</definedName>
    <definedName function="false" hidden="false" name="perc_oco_licen_patern" vbProcedure="false">#REF!</definedName>
    <definedName function="false" hidden="false" name="PIS" vbProcedure="false">#REF!</definedName>
    <definedName function="false" hidden="false" name="PISM" vbProcedure="false">#REF!</definedName>
    <definedName function="false" hidden="false" name="qtde_postos" vbProcedure="false">#REF!</definedName>
    <definedName function="false" hidden="false" name="qtde_postosM" vbProcedure="false">#REF!</definedName>
    <definedName function="false" hidden="false" name="salario13o" vbProcedure="false">#REF!</definedName>
    <definedName function="false" hidden="false" name="salario13oM" vbProcedure="false">#REF!</definedName>
    <definedName function="false" hidden="false" name="salario_base" vbProcedure="false">#REF!</definedName>
    <definedName function="false" hidden="false" name="salario_baseM" vbProcedure="false">#REF!</definedName>
    <definedName function="false" hidden="false" name="salario_remuneracao" vbProcedure="false">#REF!</definedName>
    <definedName function="false" hidden="false" name="salario_remuneracaoM" vbProcedure="false">#REF!</definedName>
    <definedName function="false" hidden="false" name="Valor_Mensal_Posto" vbProcedure="false">#REF!</definedName>
    <definedName function="false" hidden="false" name="Valor_Mensal_PostoM" vbProcedure="false">#REF!</definedName>
    <definedName function="false" hidden="false" name="valor_passagem" vbProcedure="false">#REF!</definedName>
    <definedName function="false" hidden="false" name="valor_passagemM" vbProcedure="false">#REF!</definedName>
    <definedName function="false" hidden="false" localSheetId="0" name="COFINS" vbProcedure="false">#REF!</definedName>
    <definedName function="false" hidden="false" localSheetId="0" name="COFINSM" vbProcedure="false">#REF!</definedName>
    <definedName function="false" hidden="false" localSheetId="0" name="custos_indiretos" vbProcedure="false">#REF!</definedName>
    <definedName function="false" hidden="false" localSheetId="0" name="custos_indiretosM" vbProcedure="false">#REF!</definedName>
    <definedName function="false" hidden="false" localSheetId="0" name="indice_oco_afast_matern" vbProcedure="false">#REF!</definedName>
    <definedName function="false" hidden="false" localSheetId="0" name="indice_oco_demis" vbProcedure="false">#REF!</definedName>
    <definedName function="false" hidden="false" localSheetId="0" name="ISS" vbProcedure="false">#REF!</definedName>
    <definedName function="false" hidden="false" localSheetId="0" name="ISSM" vbProcedure="false">#REF!</definedName>
    <definedName function="false" hidden="false" localSheetId="0" name="lucro" vbProcedure="false">#REF!</definedName>
    <definedName function="false" hidden="false" localSheetId="0" name="lucroM" vbProcedure="false">#REF!</definedName>
    <definedName function="false" hidden="false" localSheetId="0" name="M1a4" vbProcedure="false">#REF!</definedName>
    <definedName function="false" hidden="false" localSheetId="0" name="M1a4M" vbProcedure="false">#REF!</definedName>
    <definedName function="false" hidden="false" localSheetId="0" name="M2_" vbProcedure="false">#REF!</definedName>
    <definedName function="false" hidden="false" localSheetId="0" name="M2_M" vbProcedure="false">#REF!</definedName>
    <definedName function="false" hidden="false" localSheetId="0" name="M3_" vbProcedure="false">#REF!</definedName>
    <definedName function="false" hidden="false" localSheetId="0" name="M3_M" vbProcedure="false">#REF!</definedName>
    <definedName function="false" hidden="false" localSheetId="0" name="M4_" vbProcedure="false">#REF!</definedName>
    <definedName function="false" hidden="false" localSheetId="0" name="M4_1" vbProcedure="false">#REF!</definedName>
    <definedName function="false" hidden="false" localSheetId="0" name="M4_1M" vbProcedure="false">#REF!</definedName>
    <definedName function="false" hidden="false" localSheetId="0" name="M4_2" vbProcedure="false">#REF!</definedName>
    <definedName function="false" hidden="false" localSheetId="0" name="M4_2M" vbProcedure="false">#REF!</definedName>
    <definedName function="false" hidden="false" localSheetId="0" name="M4_3" vbProcedure="false">#REF!</definedName>
    <definedName function="false" hidden="false" localSheetId="0" name="M4_3M" vbProcedure="false">#REF!</definedName>
    <definedName function="false" hidden="false" localSheetId="0" name="M4_4" vbProcedure="false">#REF!</definedName>
    <definedName function="false" hidden="false" localSheetId="0" name="M4_4M" vbProcedure="false">#REF!</definedName>
    <definedName function="false" hidden="false" localSheetId="0" name="M4_5" vbProcedure="false">#REF!</definedName>
    <definedName function="false" hidden="false" localSheetId="0" name="M4_5M" vbProcedure="false">#REF!</definedName>
    <definedName function="false" hidden="false" localSheetId="0" name="M4_6" vbProcedure="false">#REF!</definedName>
    <definedName function="false" hidden="false" localSheetId="0" name="M4_6M" vbProcedure="false">#REF!</definedName>
    <definedName function="false" hidden="false" localSheetId="0" name="M4_M" vbProcedure="false">#REF!</definedName>
    <definedName function="false" hidden="false" localSheetId="0" name="M5_" vbProcedure="false">#REF!</definedName>
    <definedName function="false" hidden="false" localSheetId="0" name="M5_M" vbProcedure="false">#REF!</definedName>
    <definedName function="false" hidden="false" localSheetId="0" name="num_dias_aus_doenca" vbProcedure="false">#REF!</definedName>
    <definedName function="false" hidden="false" localSheetId="0" name="num_dias_aus_legais" vbProcedure="false">#REF!</definedName>
    <definedName function="false" hidden="false" localSheetId="0" name="perc_encargosSociais" vbProcedure="false">#REF!</definedName>
    <definedName function="false" hidden="false" localSheetId="0" name="perc_encargosSociaisM" vbProcedure="false">#REF!</definedName>
    <definedName function="false" hidden="false" localSheetId="0" name="perc_FGTS" vbProcedure="false">#REF!</definedName>
    <definedName function="false" hidden="false" localSheetId="0" name="perc_FGTSM" vbProcedure="false">#REF!</definedName>
    <definedName function="false" hidden="false" localSheetId="0" name="perc_ocor_acid_trab" vbProcedure="false">#REF!</definedName>
    <definedName function="false" hidden="false" localSheetId="0" name="perc_oco_licen_patern" vbProcedure="false">#REF!</definedName>
    <definedName function="false" hidden="false" localSheetId="0" name="PIS" vbProcedure="false">#REF!</definedName>
    <definedName function="false" hidden="false" localSheetId="0" name="PISM" vbProcedure="false">#REF!</definedName>
    <definedName function="false" hidden="false" localSheetId="0" name="qtde_postos" vbProcedure="false">#REF!</definedName>
    <definedName function="false" hidden="false" localSheetId="0" name="qtde_postosM" vbProcedure="false">#REF!</definedName>
    <definedName function="false" hidden="false" localSheetId="0" name="salario13o" vbProcedure="false">#REF!</definedName>
    <definedName function="false" hidden="false" localSheetId="0" name="salario13oM" vbProcedure="false">#REF!</definedName>
    <definedName function="false" hidden="false" localSheetId="0" name="salario_base" vbProcedure="false">#REF!</definedName>
    <definedName function="false" hidden="false" localSheetId="0" name="salario_baseM" vbProcedure="false">#REF!</definedName>
    <definedName function="false" hidden="false" localSheetId="0" name="salario_remuneracao" vbProcedure="false">#REF!</definedName>
    <definedName function="false" hidden="false" localSheetId="0" name="salario_remuneracaoM" vbProcedure="false">#REF!</definedName>
    <definedName function="false" hidden="false" localSheetId="0" name="Valor_Mensal_Posto" vbProcedure="false">#REF!</definedName>
    <definedName function="false" hidden="false" localSheetId="0" name="Valor_Mensal_PostoM" vbProcedure="false">#REF!</definedName>
    <definedName function="false" hidden="false" localSheetId="0" name="valor_passagem" vbProcedure="false">#REF!</definedName>
    <definedName function="false" hidden="false" localSheetId="0" name="valor_passagemM" vbProcedure="false">#REF!</definedName>
    <definedName function="false" hidden="false" localSheetId="2" name="Print_Area" vbProcedure="false">' RS2-a'!$A$1:$D$145</definedName>
    <definedName function="false" hidden="false" localSheetId="3" name="Print_Area" vbProcedure="false">'RS-b'!$A$1:$D$113</definedName>
    <definedName function="false" hidden="false" localSheetId="4" name="Print_Area" vbProcedure="false">'RS2-c'!$A$1:$D$113</definedName>
    <definedName function="false" hidden="false" localSheetId="5" name="Print_Area" vbProcedure="false">'RS2-d'!$A$1:$D$113</definedName>
    <definedName function="false" hidden="false" localSheetId="6" name="Print_Area" vbProcedure="false">MC!$A$3:$U$35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<sst xmlns="http://schemas.openxmlformats.org/spreadsheetml/2006/main" count="4565" uniqueCount="890">
  <si>
    <t xml:space="preserve">QUADRO RESUMO - Processo 35014.236158/2024-27</t>
  </si>
  <si>
    <t xml:space="preserve">UNIDADE</t>
  </si>
  <si>
    <t xml:space="preserve">ISS</t>
  </si>
  <si>
    <t xml:space="preserve">Postos</t>
  </si>
  <si>
    <t xml:space="preserve">Horas</t>
  </si>
  <si>
    <t xml:space="preserve">Valores mensais dos Postos</t>
  </si>
  <si>
    <t xml:space="preserve">Valor mensais</t>
  </si>
  <si>
    <t xml:space="preserve">Total</t>
  </si>
  <si>
    <t xml:space="preserve">Seq.</t>
  </si>
  <si>
    <t xml:space="preserve">Unidade</t>
  </si>
  <si>
    <t xml:space="preserve">CCT</t>
  </si>
  <si>
    <t xml:space="preserve">30h</t>
  </si>
  <si>
    <t xml:space="preserve">44h</t>
  </si>
  <si>
    <t xml:space="preserve">12x36 diurno</t>
  </si>
  <si>
    <t xml:space="preserve">12x36 noturno</t>
  </si>
  <si>
    <t xml:space="preserve">HED</t>
  </si>
  <si>
    <t xml:space="preserve">HEN</t>
  </si>
  <si>
    <t xml:space="preserve">Ponto de Monitoramento</t>
  </si>
  <si>
    <t xml:space="preserve">Coluna1</t>
  </si>
  <si>
    <t xml:space="preserve">R$</t>
  </si>
  <si>
    <t xml:space="preserve">GERÊNCIA EXECUTIVA PASSO FUNDO</t>
  </si>
  <si>
    <t xml:space="preserve">RS2-a</t>
  </si>
  <si>
    <t xml:space="preserve">APS CARAZINHO</t>
  </si>
  <si>
    <t xml:space="preserve">APS CASCA</t>
  </si>
  <si>
    <t xml:space="preserve">APS ERECHIM</t>
  </si>
  <si>
    <t xml:space="preserve">RS2-d</t>
  </si>
  <si>
    <t xml:space="preserve">APS ESPUMOSO</t>
  </si>
  <si>
    <t xml:space="preserve">APS GETÚLIO VARGAS</t>
  </si>
  <si>
    <t xml:space="preserve">APS GUAPORÉ</t>
  </si>
  <si>
    <t xml:space="preserve">APS LAGOA VERMELHA</t>
  </si>
  <si>
    <t xml:space="preserve">APS MARAU</t>
  </si>
  <si>
    <t xml:space="preserve">APS PASSO FUNDO</t>
  </si>
  <si>
    <t xml:space="preserve">APS SARANDI</t>
  </si>
  <si>
    <t xml:space="preserve">APS SERAFINA CORREA</t>
  </si>
  <si>
    <t xml:space="preserve">APS SOLEDADE</t>
  </si>
  <si>
    <t xml:space="preserve">GERÊNCIA EXECUTIVA IJUÍ</t>
  </si>
  <si>
    <t xml:space="preserve">APS CERRO LARGO</t>
  </si>
  <si>
    <t xml:space="preserve">APS CRUZ ALTA</t>
  </si>
  <si>
    <t xml:space="preserve">APS FREDERICO WESTPHALEN</t>
  </si>
  <si>
    <t xml:space="preserve">APS GIRUÁ</t>
  </si>
  <si>
    <t xml:space="preserve">APS HORIZONTINA</t>
  </si>
  <si>
    <t xml:space="preserve">APS IBIRUBÁ</t>
  </si>
  <si>
    <t xml:space="preserve">APS IJUÍ</t>
  </si>
  <si>
    <t xml:space="preserve">APS PALMEIRA DAS MISSÕES</t>
  </si>
  <si>
    <t xml:space="preserve">APS PANAMBI</t>
  </si>
  <si>
    <t xml:space="preserve">APS PORTO LUCENA</t>
  </si>
  <si>
    <t xml:space="preserve">APS SANTA ROSA</t>
  </si>
  <si>
    <t xml:space="preserve">RS2-b</t>
  </si>
  <si>
    <t xml:space="preserve">APS SANTO ÂNGELO</t>
  </si>
  <si>
    <t xml:space="preserve">APS SÃO LUIZ GONZAGA</t>
  </si>
  <si>
    <t xml:space="preserve">APS TRÊS DE MAIO</t>
  </si>
  <si>
    <t xml:space="preserve">APS TRÊS PASSOS</t>
  </si>
  <si>
    <t xml:space="preserve">GERÊNCIA EXECUTIVA SANTA MARIA</t>
  </si>
  <si>
    <t xml:space="preserve">APS CAÇAPAVA DO SUL</t>
  </si>
  <si>
    <t xml:space="preserve">APS CACEQUI</t>
  </si>
  <si>
    <t xml:space="preserve">APS CACHOEIRA DO SUL</t>
  </si>
  <si>
    <t xml:space="preserve">APS CANDELÁRIA</t>
  </si>
  <si>
    <t xml:space="preserve">APS ENCRUZILHADA DO SUL</t>
  </si>
  <si>
    <t xml:space="preserve">APS JÚLIO DE CASTILHOS</t>
  </si>
  <si>
    <t xml:space="preserve">APS RIO PARDO</t>
  </si>
  <si>
    <t xml:space="preserve">APS SANTA CRUZ DO SUL</t>
  </si>
  <si>
    <t xml:space="preserve">RS2-c</t>
  </si>
  <si>
    <t xml:space="preserve">APS SANTA MARIA</t>
  </si>
  <si>
    <t xml:space="preserve">APS SANTIAGO</t>
  </si>
  <si>
    <t xml:space="preserve">APS SOBRADINHO</t>
  </si>
  <si>
    <t xml:space="preserve">APS TUPANCIRETÃ</t>
  </si>
  <si>
    <t xml:space="preserve">APS VENÂNCIO AIRES</t>
  </si>
  <si>
    <t xml:space="preserve">GERÊNCIA EXECUTIVA URUGUAIANA</t>
  </si>
  <si>
    <t xml:space="preserve">APS ALEGRETE</t>
  </si>
  <si>
    <t xml:space="preserve">APS DOM PEDRITO</t>
  </si>
  <si>
    <t xml:space="preserve">APS ITAQUI</t>
  </si>
  <si>
    <t xml:space="preserve">APS QUARAÍ</t>
  </si>
  <si>
    <t xml:space="preserve">APS ROSÁRIO DO SUL</t>
  </si>
  <si>
    <t xml:space="preserve">APS SANTANA DO LIVRAMENTO</t>
  </si>
  <si>
    <t xml:space="preserve">APS SÃO BORJA</t>
  </si>
  <si>
    <t xml:space="preserve">APS SÃO GABRIEL/RS</t>
  </si>
  <si>
    <t xml:space="preserve">APS URUGUAIANA</t>
  </si>
  <si>
    <t xml:space="preserve">TOTAIS RS - RIO GRANDE DO SUL 2</t>
  </si>
  <si>
    <t xml:space="preserve">RS 2 - RIO GRANDE DO SUL </t>
  </si>
  <si>
    <t xml:space="preserve">Valor médio unitário Posto/mês</t>
  </si>
  <si>
    <t xml:space="preserve">TOTAL</t>
  </si>
  <si>
    <t xml:space="preserve">MENSAL</t>
  </si>
  <si>
    <t xml:space="preserve">ANUAL</t>
  </si>
  <si>
    <t xml:space="preserve">G1</t>
  </si>
  <si>
    <t xml:space="preserve">SUPERINTENDÊNCIA REGIONAL SUL – SRIII</t>
  </si>
  <si>
    <t xml:space="preserve">INFORMAÇÕES DA UNIDADE</t>
  </si>
  <si>
    <t xml:space="preserve">ASPECTO HISTÓRICO</t>
  </si>
  <si>
    <t xml:space="preserve">FATORES DA LOCALIZAÇÃO</t>
  </si>
  <si>
    <t xml:space="preserve">CLASSES DE RISCO</t>
  </si>
  <si>
    <t xml:space="preserve">Postos Atuais</t>
  </si>
  <si>
    <t xml:space="preserve">Nova Contratação</t>
  </si>
  <si>
    <t xml:space="preserve">Solicitação de Alteração</t>
  </si>
  <si>
    <t xml:space="preserve">INFORMAÇÕES DAS CCT's</t>
  </si>
  <si>
    <t xml:space="preserve">Horário de Atendimento ao Público</t>
  </si>
  <si>
    <t xml:space="preserve">Tempo de Atendimento</t>
  </si>
  <si>
    <t xml:space="preserve">Qtde de Vigilante por horário de atendimento</t>
  </si>
  <si>
    <t xml:space="preserve">Horário da Perícia</t>
  </si>
  <si>
    <t xml:space="preserve">Quantidade de entradas do imóvel (segurados)</t>
  </si>
  <si>
    <t xml:space="preserve">Portaria 12x36h GEX risco C</t>
  </si>
  <si>
    <t xml:space="preserve">Portaria 30h</t>
  </si>
  <si>
    <t xml:space="preserve">Portaria 44h</t>
  </si>
  <si>
    <t xml:space="preserve">Quantidade de consultórios médicos ativos</t>
  </si>
  <si>
    <t xml:space="preserve">1 Vig. a 4 salas (30h)</t>
  </si>
  <si>
    <t xml:space="preserve">Subtotal 30h</t>
  </si>
  <si>
    <t xml:space="preserve">Subtotal 44h</t>
  </si>
  <si>
    <t xml:space="preserve">Possui Estacionamento?</t>
  </si>
  <si>
    <t xml:space="preserve">Estacionamento Privado ou Público</t>
  </si>
  <si>
    <t xml:space="preserve">Possui Controle de Entrada no Estacionamento?</t>
  </si>
  <si>
    <t xml:space="preserve">Se existir controle de entrada no estacionamento, há portão eletrônico?</t>
  </si>
  <si>
    <t xml:space="preserve">Quantidade de Atendimentos no período de 01/07/2019 a 31/12/2019</t>
  </si>
  <si>
    <t xml:space="preserve">Violações patrimoniais</t>
  </si>
  <si>
    <t xml:space="preserve">Fraudes previdenciárias</t>
  </si>
  <si>
    <t xml:space="preserve">População (2010 IBGE)</t>
  </si>
  <si>
    <t xml:space="preserve">Taxa de homicídio (2017 IPEA)</t>
  </si>
  <si>
    <t xml:space="preserve">Índice de Desenvolvimento Humano – IDH (2010 IBGE)</t>
  </si>
  <si>
    <t xml:space="preserve">A - baixo 
B - médio 
C - alto</t>
  </si>
  <si>
    <t xml:space="preserve">12 X 36 Diurno - Segunda a Domingo</t>
  </si>
  <si>
    <t xml:space="preserve">12 x 36 Noturno</t>
  </si>
  <si>
    <t xml:space="preserve">12 x 36 Diurno</t>
  </si>
  <si>
    <t xml:space="preserve">30h2</t>
  </si>
  <si>
    <t xml:space="preserve">44h2</t>
  </si>
  <si>
    <t xml:space="preserve">30h3</t>
  </si>
  <si>
    <t xml:space="preserve">44h3</t>
  </si>
  <si>
    <t xml:space="preserve">Registro MTE</t>
  </si>
  <si>
    <t xml:space="preserve">Possui vedação á Contratação em Regime de Jornada Parcial de Trabalho?</t>
  </si>
  <si>
    <t xml:space="preserve">Existe obrigatoriedade de pagamento de Auxílio Alimentação nas jornadas igual ou inferiores a 6 horas diárias?</t>
  </si>
  <si>
    <t xml:space="preserve">Valor do Auxílio Alimentação (se devido em jornadas inferiores a 6 horas)</t>
  </si>
  <si>
    <t xml:space="preserve">GERÊNCIA EXECUTIVA CURITIBA</t>
  </si>
  <si>
    <t xml:space="preserve">não atende</t>
  </si>
  <si>
    <t xml:space="preserve">sim</t>
  </si>
  <si>
    <t xml:space="preserve">privado</t>
  </si>
  <si>
    <t xml:space="preserve">não</t>
  </si>
  <si>
    <t xml:space="preserve">C</t>
  </si>
  <si>
    <t xml:space="preserve">24,6</t>
  </si>
  <si>
    <t xml:space="preserve">0,823</t>
  </si>
  <si>
    <t xml:space="preserve">PR000320/2020</t>
  </si>
  <si>
    <t xml:space="preserve">Não</t>
  </si>
  <si>
    <t xml:space="preserve">Sim</t>
  </si>
  <si>
    <t xml:space="preserve">R$ 33,08 – 20%</t>
  </si>
  <si>
    <t xml:space="preserve">CEDOC Prev</t>
  </si>
  <si>
    <t xml:space="preserve">não há</t>
  </si>
  <si>
    <t xml:space="preserve">-</t>
  </si>
  <si>
    <t xml:space="preserve">Imóvel Mal. Deodoro</t>
  </si>
  <si>
    <t xml:space="preserve">APS CURITIBA - CÂNDIDO LOPES</t>
  </si>
  <si>
    <t xml:space="preserve">07h às 13h</t>
  </si>
  <si>
    <t xml:space="preserve">2 de 30 (C)</t>
  </si>
  <si>
    <t xml:space="preserve">ultrapassa o horário de atendimento da APS</t>
  </si>
  <si>
    <t xml:space="preserve">APS CURITIBA - HAUER</t>
  </si>
  <si>
    <t xml:space="preserve">APS CURITIBA - VISCONDE DE GUARAPUAVA</t>
  </si>
  <si>
    <t xml:space="preserve">não (há cancela)</t>
  </si>
  <si>
    <t xml:space="preserve">APS DIGITAL CURITIBA</t>
  </si>
  <si>
    <t xml:space="preserve">APS PARANAGUÁ</t>
  </si>
  <si>
    <t xml:space="preserve">37,9</t>
  </si>
  <si>
    <t xml:space="preserve">0,75</t>
  </si>
  <si>
    <t xml:space="preserve">APS ARAUCÁRIA</t>
  </si>
  <si>
    <t xml:space="preserve">0,74</t>
  </si>
  <si>
    <t xml:space="preserve">APS SÃO JOSÉ DOS PINHAIS</t>
  </si>
  <si>
    <t xml:space="preserve">41,8</t>
  </si>
  <si>
    <t xml:space="preserve">0,758</t>
  </si>
  <si>
    <t xml:space="preserve">APS COLOMBO</t>
  </si>
  <si>
    <t xml:space="preserve">41,1</t>
  </si>
  <si>
    <t xml:space="preserve">0,733</t>
  </si>
  <si>
    <t xml:space="preserve">APS FAZENDA RIO GRANDE</t>
  </si>
  <si>
    <t xml:space="preserve">0,72</t>
  </si>
  <si>
    <t xml:space="preserve">APS CAMPO LARGO</t>
  </si>
  <si>
    <t xml:space="preserve">27,9</t>
  </si>
  <si>
    <t xml:space="preserve">0,745</t>
  </si>
  <si>
    <t xml:space="preserve">APS PINHAIS</t>
  </si>
  <si>
    <t xml:space="preserve">0,751</t>
  </si>
  <si>
    <t xml:space="preserve">APS CAMPINA GRANDE DO SUL</t>
  </si>
  <si>
    <t xml:space="preserve">APS inoperante</t>
  </si>
  <si>
    <t xml:space="preserve">0,718</t>
  </si>
  <si>
    <t xml:space="preserve">APS LAPA</t>
  </si>
  <si>
    <t xml:space="preserve">0,706</t>
  </si>
  <si>
    <t xml:space="preserve">APS MANDIRITUBA</t>
  </si>
  <si>
    <t xml:space="preserve">0,655</t>
  </si>
  <si>
    <t xml:space="preserve">APS ITAPERUÇU</t>
  </si>
  <si>
    <t xml:space="preserve">0,637</t>
  </si>
  <si>
    <t xml:space="preserve">GERÊNCIA EXECUTIVA CASCAVEL</t>
  </si>
  <si>
    <t xml:space="preserve">SIM</t>
  </si>
  <si>
    <t xml:space="preserve">desconhece</t>
  </si>
  <si>
    <t xml:space="preserve">27,1</t>
  </si>
  <si>
    <t xml:space="preserve">0,782</t>
  </si>
  <si>
    <t xml:space="preserve">APS CHATEAUBRIAND</t>
  </si>
  <si>
    <t xml:space="preserve">07h às 17h</t>
  </si>
  <si>
    <t xml:space="preserve">público</t>
  </si>
  <si>
    <t xml:space="preserve">NÃO</t>
  </si>
  <si>
    <t xml:space="preserve">0,729</t>
  </si>
  <si>
    <t xml:space="preserve">APS CASCAVEL/PR</t>
  </si>
  <si>
    <t xml:space="preserve">APS FOZ DO IGUAÇU</t>
  </si>
  <si>
    <t xml:space="preserve">07h às 18h</t>
  </si>
  <si>
    <t xml:space="preserve">APS FRANCISCO BELTRÃO</t>
  </si>
  <si>
    <t xml:space="preserve">0,774</t>
  </si>
  <si>
    <t xml:space="preserve">APS MEDIANEIRA</t>
  </si>
  <si>
    <t xml:space="preserve">0,763</t>
  </si>
  <si>
    <t xml:space="preserve">APS PATO BRANCO</t>
  </si>
  <si>
    <t xml:space="preserve">APS REALEZA</t>
  </si>
  <si>
    <t xml:space="preserve">08h às 18h</t>
  </si>
  <si>
    <t xml:space="preserve">0,722</t>
  </si>
  <si>
    <t xml:space="preserve">APS TOLEDO/PR</t>
  </si>
  <si>
    <t xml:space="preserve">13,3</t>
  </si>
  <si>
    <t xml:space="preserve">0,768</t>
  </si>
  <si>
    <t xml:space="preserve">APS GUAÍRA/PR</t>
  </si>
  <si>
    <t xml:space="preserve">08h às 14h</t>
  </si>
  <si>
    <t xml:space="preserve">0,724</t>
  </si>
  <si>
    <t xml:space="preserve">APS MANGUEIRINHA</t>
  </si>
  <si>
    <t xml:space="preserve">0,688</t>
  </si>
  <si>
    <t xml:space="preserve">APS MARECHAL CÂNDIDO RONDON</t>
  </si>
  <si>
    <t xml:space="preserve">APS PALMAS/PR</t>
  </si>
  <si>
    <t xml:space="preserve">0,660</t>
  </si>
  <si>
    <t xml:space="preserve">APS SANTO ANTONIO DO SUDOESTE</t>
  </si>
  <si>
    <t xml:space="preserve">0,671</t>
  </si>
  <si>
    <t xml:space="preserve">APS DOIS VIZINHOS</t>
  </si>
  <si>
    <t xml:space="preserve">0,767</t>
  </si>
  <si>
    <t xml:space="preserve">APS PALOTINA</t>
  </si>
  <si>
    <t xml:space="preserve">APS CORONEL VIVIDA</t>
  </si>
  <si>
    <t xml:space="preserve">0,723</t>
  </si>
  <si>
    <t xml:space="preserve">APS SÃO MIGUEL DO IGUAÇU</t>
  </si>
  <si>
    <t xml:space="preserve">0,704</t>
  </si>
  <si>
    <t xml:space="preserve">APS QUEDAS DO IGUAÇU</t>
  </si>
  <si>
    <t xml:space="preserve">07h às 14h</t>
  </si>
  <si>
    <t xml:space="preserve">0,681</t>
  </si>
  <si>
    <t xml:space="preserve">GERÊNCIA EXECUTIVA LONDRINA</t>
  </si>
  <si>
    <t xml:space="preserve">eventual/raro</t>
  </si>
  <si>
    <t xml:space="preserve">PÚBLICO</t>
  </si>
  <si>
    <t xml:space="preserve">24,4</t>
  </si>
  <si>
    <t xml:space="preserve">0,778</t>
  </si>
  <si>
    <t xml:space="preserve">APS APUCARANA</t>
  </si>
  <si>
    <t xml:space="preserve">07H ÀS 13H</t>
  </si>
  <si>
    <t xml:space="preserve">PRIVADO</t>
  </si>
  <si>
    <t xml:space="preserve">10,9</t>
  </si>
  <si>
    <t xml:space="preserve">0,748</t>
  </si>
  <si>
    <t xml:space="preserve">APS CORNÉLIO PROCÓPIO</t>
  </si>
  <si>
    <t xml:space="preserve">0,759</t>
  </si>
  <si>
    <t xml:space="preserve">APS ARAPONGAS</t>
  </si>
  <si>
    <t xml:space="preserve">APS IVAIPORÃ</t>
  </si>
  <si>
    <t xml:space="preserve">0,730</t>
  </si>
  <si>
    <t xml:space="preserve">APS JACAREZINHO</t>
  </si>
  <si>
    <t xml:space="preserve">08H ÀS 13H</t>
  </si>
  <si>
    <t xml:space="preserve">0,743</t>
  </si>
  <si>
    <t xml:space="preserve">APS ANDIRÁ</t>
  </si>
  <si>
    <t xml:space="preserve">08H ÀS 14H</t>
  </si>
  <si>
    <t xml:space="preserve">0,725</t>
  </si>
  <si>
    <t xml:space="preserve">APS CAMBARÁ</t>
  </si>
  <si>
    <t xml:space="preserve">0,721</t>
  </si>
  <si>
    <t xml:space="preserve">APS SANTO ANTÔNIO DA PLATINA</t>
  </si>
  <si>
    <t xml:space="preserve">APS LONDRINA - CENTRO</t>
  </si>
  <si>
    <t xml:space="preserve">APS LONDRINA - SHANGRILÁ</t>
  </si>
  <si>
    <t xml:space="preserve">07H ÀS 19H</t>
  </si>
  <si>
    <t xml:space="preserve">07h às 20h48</t>
  </si>
  <si>
    <t xml:space="preserve">APS ROLÂNDIA</t>
  </si>
  <si>
    <t xml:space="preserve">0,739</t>
  </si>
  <si>
    <t xml:space="preserve">APS BANDEIRANTES/PR</t>
  </si>
  <si>
    <t xml:space="preserve">07h às 18h (dias intercalados manhã/tarde)</t>
  </si>
  <si>
    <t xml:space="preserve">0,727</t>
  </si>
  <si>
    <t xml:space="preserve">APS CAMBÉ</t>
  </si>
  <si>
    <t xml:space="preserve">15,2</t>
  </si>
  <si>
    <t xml:space="preserve">0,734</t>
  </si>
  <si>
    <t xml:space="preserve">GERÊNCIA EXECUTIVA MARINGÁ</t>
  </si>
  <si>
    <t xml:space="preserve">12,7</t>
  </si>
  <si>
    <t xml:space="preserve">0,808</t>
  </si>
  <si>
    <t xml:space="preserve">APS CAMPO MOURÃO</t>
  </si>
  <si>
    <t xml:space="preserve">n</t>
  </si>
  <si>
    <t xml:space="preserve">s</t>
  </si>
  <si>
    <t xml:space="preserve">0,757</t>
  </si>
  <si>
    <t xml:space="preserve">APS CIANORTE</t>
  </si>
  <si>
    <t xml:space="preserve">0,755</t>
  </si>
  <si>
    <t xml:space="preserve">APS GOIOERÊ</t>
  </si>
  <si>
    <t xml:space="preserve">0,731</t>
  </si>
  <si>
    <t xml:space="preserve">APS LOANDA</t>
  </si>
  <si>
    <t xml:space="preserve">APS MARINGÁ</t>
  </si>
  <si>
    <t xml:space="preserve">APS PARANAVAÍ</t>
  </si>
  <si>
    <t xml:space="preserve">APS UMUARAMA</t>
  </si>
  <si>
    <t xml:space="preserve">27,7</t>
  </si>
  <si>
    <t xml:space="preserve">0,761</t>
  </si>
  <si>
    <t xml:space="preserve">APS COLORADO/PR</t>
  </si>
  <si>
    <t xml:space="preserve">APS PAIÇANDU</t>
  </si>
  <si>
    <t xml:space="preserve">0,716</t>
  </si>
  <si>
    <t xml:space="preserve">APS ASTORGA</t>
  </si>
  <si>
    <t xml:space="preserve">0,747</t>
  </si>
  <si>
    <t xml:space="preserve">APS CRUZEIRO DO OESTE</t>
  </si>
  <si>
    <t xml:space="preserve">0,717</t>
  </si>
  <si>
    <t xml:space="preserve">APS NOVA ESPERANÇA</t>
  </si>
  <si>
    <t xml:space="preserve">APS MANDAGUARI</t>
  </si>
  <si>
    <t xml:space="preserve">SLLCE** / CEDOC</t>
  </si>
  <si>
    <t xml:space="preserve">GERÊNCIA EXECUTIVA PONTA GROSSA</t>
  </si>
  <si>
    <t xml:space="preserve">20,9</t>
  </si>
  <si>
    <t xml:space="preserve">N</t>
  </si>
  <si>
    <t xml:space="preserve">APS Ponta Grossa</t>
  </si>
  <si>
    <t xml:space="preserve">S</t>
  </si>
  <si>
    <t xml:space="preserve">APS GUARAPUAVA</t>
  </si>
  <si>
    <t xml:space="preserve">APS IRATI/PR</t>
  </si>
  <si>
    <t xml:space="preserve">0,726</t>
  </si>
  <si>
    <t xml:space="preserve">APS JAGUARIAIVA</t>
  </si>
  <si>
    <t xml:space="preserve">APS LARANJEIRAS DO SUL</t>
  </si>
  <si>
    <t xml:space="preserve">APS TELÊMACO BORBA</t>
  </si>
  <si>
    <t xml:space="preserve">APS UNIÃO DA VITÓRIA</t>
  </si>
  <si>
    <t xml:space="preserve">0,740</t>
  </si>
  <si>
    <t xml:space="preserve">APS CASTRO</t>
  </si>
  <si>
    <t xml:space="preserve">0,703</t>
  </si>
  <si>
    <t xml:space="preserve">APS IBAITI</t>
  </si>
  <si>
    <t xml:space="preserve">0,710</t>
  </si>
  <si>
    <t xml:space="preserve">APS PITANGA</t>
  </si>
  <si>
    <t xml:space="preserve">0,702</t>
  </si>
  <si>
    <t xml:space="preserve">APS ARAPOTI</t>
  </si>
  <si>
    <t xml:space="preserve">APS IMBITUVA</t>
  </si>
  <si>
    <t xml:space="preserve">APS PRUDENTÓPOLIS</t>
  </si>
  <si>
    <t xml:space="preserve">0,676</t>
  </si>
  <si>
    <t xml:space="preserve">APS PINHÃO/PR</t>
  </si>
  <si>
    <t xml:space="preserve">0,654</t>
  </si>
  <si>
    <t xml:space="preserve">APS PALMEIRA/PR</t>
  </si>
  <si>
    <t xml:space="preserve">APS SÃO MATEUS DO SUL</t>
  </si>
  <si>
    <t xml:space="preserve">0,719</t>
  </si>
  <si>
    <t xml:space="preserve">GERÊNCIA EXECUTIVA PORTO ALEGRE</t>
  </si>
  <si>
    <t xml:space="preserve">Privado</t>
  </si>
  <si>
    <t xml:space="preserve">0,805</t>
  </si>
  <si>
    <t xml:space="preserve">RS000714/2021</t>
  </si>
  <si>
    <t xml:space="preserve">Sim, para 6 h ou mais</t>
  </si>
  <si>
    <t xml:space="preserve">R$ 21,50 – 20%</t>
  </si>
  <si>
    <t xml:space="preserve">APS PORTO ALEGRE - CENTRO</t>
  </si>
  <si>
    <t xml:space="preserve">Ed. Brasiliano (APS POA Norte – fechou)</t>
  </si>
  <si>
    <t xml:space="preserve">APS PORTO ALEGRE - PARTENON – Perícias</t>
  </si>
  <si>
    <t xml:space="preserve">7hs as 16hs</t>
  </si>
  <si>
    <t xml:space="preserve">APS PORTO ALEGRE - SUL</t>
  </si>
  <si>
    <t xml:space="preserve">APS VIAMÃO</t>
  </si>
  <si>
    <t xml:space="preserve">51,6</t>
  </si>
  <si>
    <t xml:space="preserve">APS ALVORADA/RS</t>
  </si>
  <si>
    <t xml:space="preserve">112,6</t>
  </si>
  <si>
    <t xml:space="preserve">0,699</t>
  </si>
  <si>
    <t xml:space="preserve">CEDOC PREV PORTO ALEGRE</t>
  </si>
  <si>
    <t xml:space="preserve">GERÊNCIA EXECUTIVA CANOAS</t>
  </si>
  <si>
    <t xml:space="preserve">47,9</t>
  </si>
  <si>
    <t xml:space="preserve">0,750</t>
  </si>
  <si>
    <t xml:space="preserve">CEDOCPREV Canoas</t>
  </si>
  <si>
    <t xml:space="preserve">Depósito Gerência em Esteio</t>
  </si>
  <si>
    <t xml:space="preserve">APS CACHOEIRINHA</t>
  </si>
  <si>
    <t xml:space="preserve">08:00 às 18:00</t>
  </si>
  <si>
    <t xml:space="preserve">sem portão</t>
  </si>
  <si>
    <t xml:space="preserve">42,8</t>
  </si>
  <si>
    <t xml:space="preserve">APS CANOAS</t>
  </si>
  <si>
    <t xml:space="preserve">APS ESTEIO</t>
  </si>
  <si>
    <t xml:space="preserve">0,754</t>
  </si>
  <si>
    <t xml:space="preserve">APS GRAVATAÍ</t>
  </si>
  <si>
    <t xml:space="preserve">0,736</t>
  </si>
  <si>
    <t xml:space="preserve">APS GUAÍBA</t>
  </si>
  <si>
    <t xml:space="preserve">RS000688/2021</t>
  </si>
  <si>
    <t xml:space="preserve">APS OSÓRIO</t>
  </si>
  <si>
    <t xml:space="preserve">APS SÃO JERÔNIMO</t>
  </si>
  <si>
    <t xml:space="preserve">08:00 às 14:00</t>
  </si>
  <si>
    <t xml:space="preserve">0,696</t>
  </si>
  <si>
    <t xml:space="preserve">APS TORRES</t>
  </si>
  <si>
    <t xml:space="preserve">0,762</t>
  </si>
  <si>
    <t xml:space="preserve">APS BUTIÁ</t>
  </si>
  <si>
    <t xml:space="preserve">0,689</t>
  </si>
  <si>
    <t xml:space="preserve">APS SANTO ANTÔNIO DA PATRULHA</t>
  </si>
  <si>
    <t xml:space="preserve">GERÊNCIA EXECUTIVA CAXIAS DO SUL</t>
  </si>
  <si>
    <t xml:space="preserve">ajudou em tempos passados fraude de servidor</t>
  </si>
  <si>
    <t xml:space="preserve">RS000917/2021</t>
  </si>
  <si>
    <t xml:space="preserve">R$ 24,60 – 20%</t>
  </si>
  <si>
    <t xml:space="preserve">APS BENTO GONÇALVES</t>
  </si>
  <si>
    <t xml:space="preserve">33,9</t>
  </si>
  <si>
    <t xml:space="preserve">APS CANELA</t>
  </si>
  <si>
    <t xml:space="preserve">APS CAXIAS DO SUL</t>
  </si>
  <si>
    <t xml:space="preserve">APS FARROUPILHA</t>
  </si>
  <si>
    <t xml:space="preserve">0,777</t>
  </si>
  <si>
    <t xml:space="preserve">APS GARIBALDI</t>
  </si>
  <si>
    <t xml:space="preserve">08h às 13h</t>
  </si>
  <si>
    <t xml:space="preserve">0,786</t>
  </si>
  <si>
    <t xml:space="preserve">APS VACARIA</t>
  </si>
  <si>
    <t xml:space="preserve">APS VERANÓPOLIS</t>
  </si>
  <si>
    <t xml:space="preserve">0,773</t>
  </si>
  <si>
    <t xml:space="preserve">APS NOVA PRATA</t>
  </si>
  <si>
    <t xml:space="preserve">0,766</t>
  </si>
  <si>
    <t xml:space="preserve">APS CARLOS BARBOSA</t>
  </si>
  <si>
    <t xml:space="preserve">0,796</t>
  </si>
  <si>
    <t xml:space="preserve">APS FLORES DA CUNHA</t>
  </si>
  <si>
    <t xml:space="preserve">CEDOCPREV CAXIAS</t>
  </si>
  <si>
    <t xml:space="preserve">0,781</t>
  </si>
  <si>
    <t xml:space="preserve">7 às 17</t>
  </si>
  <si>
    <t xml:space="preserve">8 às 12</t>
  </si>
  <si>
    <t xml:space="preserve">0,764</t>
  </si>
  <si>
    <t xml:space="preserve">7 às 13</t>
  </si>
  <si>
    <t xml:space="preserve">8 às 18</t>
  </si>
  <si>
    <t xml:space="preserve">0,760</t>
  </si>
  <si>
    <t xml:space="preserve">7 às 12 e 13 às 16</t>
  </si>
  <si>
    <t xml:space="preserve">RS000733/2021</t>
  </si>
  <si>
    <t xml:space="preserve">0,737</t>
  </si>
  <si>
    <t xml:space="preserve">8 às 13</t>
  </si>
  <si>
    <t xml:space="preserve">8 às 16</t>
  </si>
  <si>
    <t xml:space="preserve">0,769</t>
  </si>
  <si>
    <t xml:space="preserve">0,772</t>
  </si>
  <si>
    <t xml:space="preserve">0,741</t>
  </si>
  <si>
    <t xml:space="preserve">8 às 14</t>
  </si>
  <si>
    <t xml:space="preserve">0,783</t>
  </si>
  <si>
    <t xml:space="preserve">0,765</t>
  </si>
  <si>
    <t xml:space="preserve">RS000752/2021</t>
  </si>
  <si>
    <t xml:space="preserve">0,693</t>
  </si>
  <si>
    <t xml:space="preserve">GERÊNCIA EXECUTIVA NOVO HAMBURGO</t>
  </si>
  <si>
    <t xml:space="preserve">30,7</t>
  </si>
  <si>
    <t xml:space="preserve">Almoxarifado</t>
  </si>
  <si>
    <t xml:space="preserve">APS CAMPO BOM</t>
  </si>
  <si>
    <t xml:space="preserve">7:30 às 17:30</t>
  </si>
  <si>
    <t xml:space="preserve">APS DOIS IRMÃOS</t>
  </si>
  <si>
    <t xml:space="preserve">APS ENCANTADO</t>
  </si>
  <si>
    <t xml:space="preserve">RS000667/2021</t>
  </si>
  <si>
    <t xml:space="preserve">APS ESTRELA</t>
  </si>
  <si>
    <t xml:space="preserve">APS LAJEADO/RS</t>
  </si>
  <si>
    <t xml:space="preserve">APS MONTENEGRO</t>
  </si>
  <si>
    <t xml:space="preserve">APS NOVO HAMBURGO</t>
  </si>
  <si>
    <t xml:space="preserve">APS SÃO LEOPOLDO</t>
  </si>
  <si>
    <t xml:space="preserve">39,6</t>
  </si>
  <si>
    <t xml:space="preserve">APS SÃO SEBASTIÃO DO CAÍ</t>
  </si>
  <si>
    <t xml:space="preserve">APS SAPIRANGA</t>
  </si>
  <si>
    <t xml:space="preserve">0,711</t>
  </si>
  <si>
    <t xml:space="preserve">APS TAQUARA</t>
  </si>
  <si>
    <t xml:space="preserve">APS TAQUARI</t>
  </si>
  <si>
    <t xml:space="preserve">APS TEUTÔNIA</t>
  </si>
  <si>
    <t xml:space="preserve">APS PORTÃO</t>
  </si>
  <si>
    <t xml:space="preserve">0,713</t>
  </si>
  <si>
    <t xml:space="preserve">APS IGREJINHA</t>
  </si>
  <si>
    <t xml:space="preserve">APS TRÊS COROAS</t>
  </si>
  <si>
    <t xml:space="preserve">0,776</t>
  </si>
  <si>
    <t xml:space="preserve">RS001004/2021</t>
  </si>
  <si>
    <t xml:space="preserve">18,4</t>
  </si>
  <si>
    <t xml:space="preserve">RS001583/2021</t>
  </si>
  <si>
    <t xml:space="preserve">0,738</t>
  </si>
  <si>
    <t xml:space="preserve">APS SOLEDADE/RS</t>
  </si>
  <si>
    <t xml:space="preserve">0,785</t>
  </si>
  <si>
    <t xml:space="preserve">0,746</t>
  </si>
  <si>
    <t xml:space="preserve">APS MARAU/RS</t>
  </si>
  <si>
    <t xml:space="preserve">APS SARANDI/RS</t>
  </si>
  <si>
    <t xml:space="preserve">Público</t>
  </si>
  <si>
    <t xml:space="preserve">GERÊNCIA EXECUTIVA PELOTAS</t>
  </si>
  <si>
    <t xml:space="preserve">32,6</t>
  </si>
  <si>
    <t xml:space="preserve">APS BAGÉ</t>
  </si>
  <si>
    <t xml:space="preserve">APS CAMAQUÃ</t>
  </si>
  <si>
    <t xml:space="preserve">PÚBLICO E PRIVADO</t>
  </si>
  <si>
    <t xml:space="preserve">0,697</t>
  </si>
  <si>
    <t xml:space="preserve">APS JAGUARÃO</t>
  </si>
  <si>
    <t xml:space="preserve">0,707</t>
  </si>
  <si>
    <t xml:space="preserve">APS PELOTAS</t>
  </si>
  <si>
    <t xml:space="preserve">APS RIO GRANDE</t>
  </si>
  <si>
    <t xml:space="preserve">0,744</t>
  </si>
  <si>
    <t xml:space="preserve">APS SÃO LOURENÇO DO SUL</t>
  </si>
  <si>
    <t xml:space="preserve">0,687</t>
  </si>
  <si>
    <t xml:space="preserve">APS CANGUÇU</t>
  </si>
  <si>
    <t xml:space="preserve">0,650</t>
  </si>
  <si>
    <t xml:space="preserve">APS SANTA VITÓRIA DO PALMAR</t>
  </si>
  <si>
    <t xml:space="preserve">0,712</t>
  </si>
  <si>
    <t xml:space="preserve">APS TAPES</t>
  </si>
  <si>
    <t xml:space="preserve">0,695</t>
  </si>
  <si>
    <t xml:space="preserve">APS CAPÃO DO LEÃO</t>
  </si>
  <si>
    <t xml:space="preserve">APS SÃO JOSÉ DO NORTE</t>
  </si>
  <si>
    <t xml:space="preserve">0,623</t>
  </si>
  <si>
    <t xml:space="preserve">APS PIRATINI</t>
  </si>
  <si>
    <t xml:space="preserve">0,658</t>
  </si>
  <si>
    <t xml:space="preserve">24,9</t>
  </si>
  <si>
    <t xml:space="preserve">0,784</t>
  </si>
  <si>
    <t xml:space="preserve">RS000983/2021</t>
  </si>
  <si>
    <t xml:space="preserve">0,742</t>
  </si>
  <si>
    <t xml:space="preserve">0,674</t>
  </si>
  <si>
    <t xml:space="preserve">28,3</t>
  </si>
  <si>
    <t xml:space="preserve">APS SANTA MARIA/RS</t>
  </si>
  <si>
    <t xml:space="preserve">0,700</t>
  </si>
  <si>
    <t xml:space="preserve">APS SOBRADINHO/RS</t>
  </si>
  <si>
    <t xml:space="preserve">0,709</t>
  </si>
  <si>
    <t xml:space="preserve">0,657</t>
  </si>
  <si>
    <t xml:space="preserve">12,3</t>
  </si>
  <si>
    <t xml:space="preserve">APS Uruguaiana</t>
  </si>
  <si>
    <t xml:space="preserve">7 às 19</t>
  </si>
  <si>
    <t xml:space="preserve">RS001465/2021</t>
  </si>
  <si>
    <t xml:space="preserve">RS000858/2021</t>
  </si>
  <si>
    <t xml:space="preserve">0,708</t>
  </si>
  <si>
    <t xml:space="preserve">GERÊNCIA EXECUTIVA FLORIANÓPOLIS</t>
  </si>
  <si>
    <t xml:space="preserve">0,847</t>
  </si>
  <si>
    <t xml:space="preserve">SC 000294/2021</t>
  </si>
  <si>
    <t xml:space="preserve">R$ 24,96 – 20%</t>
  </si>
  <si>
    <t xml:space="preserve">APS BIGUAÇÚ</t>
  </si>
  <si>
    <t xml:space="preserve">APS CURITIBANOS</t>
  </si>
  <si>
    <t xml:space="preserve">APS FLORIANÓPOLIS - CENTRO</t>
  </si>
  <si>
    <t xml:space="preserve">----</t>
  </si>
  <si>
    <t xml:space="preserve">APS FLORIANÓPOLIS - CONTINENTE</t>
  </si>
  <si>
    <t xml:space="preserve">APS IMBITUBA</t>
  </si>
  <si>
    <t xml:space="preserve">APS LAGES</t>
  </si>
  <si>
    <t xml:space="preserve">8,8</t>
  </si>
  <si>
    <t xml:space="preserve">0,770</t>
  </si>
  <si>
    <t xml:space="preserve">APS PALHOÇA</t>
  </si>
  <si>
    <t xml:space="preserve">Arquivo Palhoça</t>
  </si>
  <si>
    <t xml:space="preserve">APS SÃO JOSÉ</t>
  </si>
  <si>
    <t xml:space="preserve">19,6</t>
  </si>
  <si>
    <t xml:space="preserve">0,809</t>
  </si>
  <si>
    <t xml:space="preserve">APS TIJUCAS</t>
  </si>
  <si>
    <t xml:space="preserve">APS ALFREDO WAGNER</t>
  </si>
  <si>
    <t xml:space="preserve">0,668</t>
  </si>
  <si>
    <t xml:space="preserve">APS SÃO JOAQUIM</t>
  </si>
  <si>
    <t xml:space="preserve">APS ITAPEMA</t>
  </si>
  <si>
    <t xml:space="preserve">SLLCE</t>
  </si>
  <si>
    <t xml:space="preserve">GERÊNCIA EXECUTIVA BLUMENAU</t>
  </si>
  <si>
    <t xml:space="preserve">14,1</t>
  </si>
  <si>
    <t xml:space="preserve">0,806</t>
  </si>
  <si>
    <t xml:space="preserve">CEDOC Prev / PrevCidade Taió</t>
  </si>
  <si>
    <t xml:space="preserve">APS BLUMENAU</t>
  </si>
  <si>
    <t xml:space="preserve">07 as 17</t>
  </si>
  <si>
    <t xml:space="preserve">APS BRUSQUE</t>
  </si>
  <si>
    <t xml:space="preserve">5,8</t>
  </si>
  <si>
    <t xml:space="preserve">0,795</t>
  </si>
  <si>
    <t xml:space="preserve">APS IBIRAMA</t>
  </si>
  <si>
    <t xml:space="preserve">08 as 14</t>
  </si>
  <si>
    <t xml:space="preserve">APS INDAIAL</t>
  </si>
  <si>
    <t xml:space="preserve">NA</t>
  </si>
  <si>
    <t xml:space="preserve">APS ITAJAÍ</t>
  </si>
  <si>
    <t xml:space="preserve">22,6</t>
  </si>
  <si>
    <t xml:space="preserve">APS RIO DO SUL</t>
  </si>
  <si>
    <t xml:space="preserve">0,802</t>
  </si>
  <si>
    <t xml:space="preserve">APS TIMBÓ</t>
  </si>
  <si>
    <t xml:space="preserve">APS BALNEÁRIO DE CAMBORIÚ</t>
  </si>
  <si>
    <t xml:space="preserve">0,845</t>
  </si>
  <si>
    <t xml:space="preserve">APS PENHA</t>
  </si>
  <si>
    <t xml:space="preserve">APS POMERODE</t>
  </si>
  <si>
    <t xml:space="preserve">0,780</t>
  </si>
  <si>
    <t xml:space="preserve">GERÊNCIA EXECUTIVA CHAPECÓ</t>
  </si>
  <si>
    <t xml:space="preserve">0,790</t>
  </si>
  <si>
    <t xml:space="preserve">APS CAÇADOR</t>
  </si>
  <si>
    <t xml:space="preserve">07:00 – 13:00</t>
  </si>
  <si>
    <t xml:space="preserve">0,735</t>
  </si>
  <si>
    <t xml:space="preserve">APS CHAPECÓ</t>
  </si>
  <si>
    <t xml:space="preserve">07:00 – 17:00</t>
  </si>
  <si>
    <t xml:space="preserve">APS CONCÓRDIA</t>
  </si>
  <si>
    <t xml:space="preserve">07:00 – 18:00</t>
  </si>
  <si>
    <t xml:space="preserve">publico</t>
  </si>
  <si>
    <t xml:space="preserve">0,800</t>
  </si>
  <si>
    <t xml:space="preserve">APS JOAÇABA</t>
  </si>
  <si>
    <t xml:space="preserve">0,827</t>
  </si>
  <si>
    <t xml:space="preserve">APS MARAVILHA/SC</t>
  </si>
  <si>
    <t xml:space="preserve">08:00 – 13:00</t>
  </si>
  <si>
    <t xml:space="preserve">APS SÃO LOURENÇO DO OESTE</t>
  </si>
  <si>
    <t xml:space="preserve">0,749</t>
  </si>
  <si>
    <t xml:space="preserve">APS SÃO MIGUEL D OESTE</t>
  </si>
  <si>
    <t xml:space="preserve">0,801</t>
  </si>
  <si>
    <t xml:space="preserve">APS VIDEIRA</t>
  </si>
  <si>
    <t xml:space="preserve">APS XANXERÊ</t>
  </si>
  <si>
    <t xml:space="preserve">0,775</t>
  </si>
  <si>
    <t xml:space="preserve">APS CAMPOS NOVOS</t>
  </si>
  <si>
    <t xml:space="preserve">APS CAPINZAL</t>
  </si>
  <si>
    <t xml:space="preserve">08:00 – 14:00</t>
  </si>
  <si>
    <t xml:space="preserve">0,752</t>
  </si>
  <si>
    <t xml:space="preserve">APS FRAIBURGO</t>
  </si>
  <si>
    <t xml:space="preserve">APS PINHALZINHO/SC</t>
  </si>
  <si>
    <t xml:space="preserve">APS PORTO UNIÃO</t>
  </si>
  <si>
    <t xml:space="preserve">APS XAXIM</t>
  </si>
  <si>
    <t xml:space="preserve">APS DIONÍSIO CERQUEIRA</t>
  </si>
  <si>
    <t xml:space="preserve">GERÊNCIA EXECUTIVA CRICIÚMA</t>
  </si>
  <si>
    <t xml:space="preserve">11,3</t>
  </si>
  <si>
    <t xml:space="preserve">0,788</t>
  </si>
  <si>
    <t xml:space="preserve">APS ARARANGUÁ</t>
  </si>
  <si>
    <t xml:space="preserve">APS BRAÇO DO NORTE</t>
  </si>
  <si>
    <t xml:space="preserve">APS CRICIÚMA</t>
  </si>
  <si>
    <t xml:space="preserve">APS LAGUNA</t>
  </si>
  <si>
    <t xml:space="preserve">APS ORLEANS</t>
  </si>
  <si>
    <t xml:space="preserve">APS TUBARÃO</t>
  </si>
  <si>
    <t xml:space="preserve">8,1</t>
  </si>
  <si>
    <t xml:space="preserve">APS URUSSANGA</t>
  </si>
  <si>
    <t xml:space="preserve">APS IÇARA</t>
  </si>
  <si>
    <t xml:space="preserve">APS LAURO MÜLLER</t>
  </si>
  <si>
    <t xml:space="preserve">APS SOMBRIO</t>
  </si>
  <si>
    <t xml:space="preserve">0,728</t>
  </si>
  <si>
    <t xml:space="preserve">APS FORQUILHINHA</t>
  </si>
  <si>
    <t xml:space="preserve">0,753</t>
  </si>
  <si>
    <t xml:space="preserve">APS CAPIVARI DE BAIXO</t>
  </si>
  <si>
    <t xml:space="preserve">GERÊNCIA EXECUTIVA JOINVILLE</t>
  </si>
  <si>
    <t xml:space="preserve">22,4</t>
  </si>
  <si>
    <t xml:space="preserve">APS CANOINHAS</t>
  </si>
  <si>
    <t xml:space="preserve">APS JARAGUÁ DO SUL</t>
  </si>
  <si>
    <t xml:space="preserve">Em 3 dias são 4 pela manhã e 1 pela tarde (13:00 às 16:40), nos 2 dias restantes são todos pela manhã.</t>
  </si>
  <si>
    <t xml:space="preserve">5,5</t>
  </si>
  <si>
    <t xml:space="preserve">0,803</t>
  </si>
  <si>
    <t xml:space="preserve">APS JOINVILLE - CENTRO</t>
  </si>
  <si>
    <t xml:space="preserve">APS MAFRA</t>
  </si>
  <si>
    <t xml:space="preserve">7 às 12</t>
  </si>
  <si>
    <t xml:space="preserve">APS SÃO BENTO DO SUL</t>
  </si>
  <si>
    <t xml:space="preserve">APS SÃO FRANCISCO DO SUL (alugado)</t>
  </si>
  <si>
    <t xml:space="preserve">vai fechar</t>
  </si>
  <si>
    <t xml:space="preserve">APS SÃO FRANCISCO DO SUL (interditado)</t>
  </si>
  <si>
    <t xml:space="preserve">APS JOINVILLE - GUANABARA</t>
  </si>
  <si>
    <t xml:space="preserve">fechou</t>
  </si>
  <si>
    <t xml:space="preserve">APS GUARAMIRIM</t>
  </si>
  <si>
    <t xml:space="preserve">APS RIO NEGRO/PR</t>
  </si>
  <si>
    <t xml:space="preserve">ANEXO IV</t>
  </si>
  <si>
    <t xml:space="preserve">PLANILHA DE CUSTOS E FORMAÇÃO DE PREÇOS </t>
  </si>
  <si>
    <t xml:space="preserve">Processo 35014.236158/2024-27</t>
  </si>
  <si>
    <t xml:space="preserve">Vigilante 30h</t>
  </si>
  <si>
    <t xml:space="preserve">Vigilante 44h</t>
  </si>
  <si>
    <t xml:space="preserve">Vigilante 12 x 36 diurno de segunda a domingo</t>
  </si>
  <si>
    <t xml:space="preserve">Vigilante 12 x 36 noturno de segunda a domingo</t>
  </si>
  <si>
    <t xml:space="preserve">Identificação do Serviço</t>
  </si>
  <si>
    <t xml:space="preserve">Serviço de Vigilância </t>
  </si>
  <si>
    <t xml:space="preserve">Salário Normativo da Categoria:</t>
  </si>
  <si>
    <t xml:space="preserve">Data base da Categoria:</t>
  </si>
  <si>
    <t xml:space="preserve">Convenção Coletiva:</t>
  </si>
  <si>
    <t xml:space="preserve">CBO/MTE:</t>
  </si>
  <si>
    <t xml:space="preserve">RIO GRANDE DO SUL </t>
  </si>
  <si>
    <t xml:space="preserve">CUSTOS</t>
  </si>
  <si>
    <t xml:space="preserve">Percentuais e Valores de Referência</t>
  </si>
  <si>
    <t xml:space="preserve">Posto 30 horas semanais de segunda sexta DIURNO (1 Vigilante)</t>
  </si>
  <si>
    <t xml:space="preserve">Posto 44 horas semanais de segunda sexta DIURNO (1 vigilante)</t>
  </si>
  <si>
    <t xml:space="preserve">Posto 12 x 36 DIURNO de segunda a domingo (2 vigilantes)</t>
  </si>
  <si>
    <t xml:space="preserve">Posto 12 x 36 NOTURNO de segunda a domingo (2 vigilantes)</t>
  </si>
  <si>
    <t xml:space="preserve">MÓDULO 1: COMPOSIÇÃO DA REMUNERAÇÃO</t>
  </si>
  <si>
    <t xml:space="preserve">1 - Composição da Remuneração</t>
  </si>
  <si>
    <t xml:space="preserve">Percentuais</t>
  </si>
  <si>
    <t xml:space="preserve">Valor (R$)</t>
  </si>
  <si>
    <t xml:space="preserve">A – Salário Base </t>
  </si>
  <si>
    <t xml:space="preserve">B - Adicional de Periculosidade</t>
  </si>
  <si>
    <t xml:space="preserve">C - Adicional Noturno</t>
  </si>
  <si>
    <t xml:space="preserve">D - Adicional de Hora Noturna Reduzida</t>
  </si>
  <si>
    <t xml:space="preserve">E - Intervalo de intrajornada</t>
  </si>
  <si>
    <t xml:space="preserve">F - Adicional de Troca de Uniforme</t>
  </si>
  <si>
    <t xml:space="preserve">G - Reflexo DSR</t>
  </si>
  <si>
    <t xml:space="preserve">MÓDULO 2: ENCARGOS E BENEFÍCIOS ANUAIS, MENSAIS E DIÁRIOS</t>
  </si>
  <si>
    <t xml:space="preserve">2.1 - 13º Salário, Férias e Adicional de Férias</t>
  </si>
  <si>
    <t xml:space="preserve">A - 13º salário</t>
  </si>
  <si>
    <t xml:space="preserve">B - Adicional de Férias</t>
  </si>
  <si>
    <t xml:space="preserve">2.2 - Encargos Previdenciários e FGTS</t>
  </si>
  <si>
    <t xml:space="preserve">2.2.1 - GPS</t>
  </si>
  <si>
    <t xml:space="preserve">A - INSS</t>
  </si>
  <si>
    <t xml:space="preserve">B - Salário Educação</t>
  </si>
  <si>
    <t xml:space="preserve">C - SAT</t>
  </si>
  <si>
    <t xml:space="preserve">D - SESI ou SESC</t>
  </si>
  <si>
    <t xml:space="preserve">E - SENAI ou SENAC</t>
  </si>
  <si>
    <t xml:space="preserve">F - SEBRAE</t>
  </si>
  <si>
    <t xml:space="preserve">G - INCRA</t>
  </si>
  <si>
    <t xml:space="preserve">F - FGTS</t>
  </si>
  <si>
    <t xml:space="preserve">2.3 - Benefícios Mensais e Diários</t>
  </si>
  <si>
    <t xml:space="preserve">Valores</t>
  </si>
  <si>
    <t xml:space="preserve">A - Transporte</t>
  </si>
  <si>
    <t xml:space="preserve">B - Auxílio-Refeição/Alimentação ( COM DESCONTO DE 20%)</t>
  </si>
  <si>
    <t xml:space="preserve">C - Assistência ao Trabalhador </t>
  </si>
  <si>
    <t xml:space="preserve">D - Seguro de Vida</t>
  </si>
  <si>
    <t xml:space="preserve">E - Outros (especificar)</t>
  </si>
  <si>
    <t xml:space="preserve">F - Outros (especificar)</t>
  </si>
  <si>
    <t xml:space="preserve">2 - ENCARGOS E BENEFÍCIOS ANUAIS, MENSAIS E DIÁRIOS</t>
  </si>
  <si>
    <t xml:space="preserve">2.2 - GPS, FGTS e outras contribuições</t>
  </si>
  <si>
    <t xml:space="preserve">MÓDULO 3: PROVISÃO PARA RESCISÃO</t>
  </si>
  <si>
    <t xml:space="preserve">3 - Provisão para Rescisão</t>
  </si>
  <si>
    <t xml:space="preserve">A - Aviso Prévio Indenizado</t>
  </si>
  <si>
    <t xml:space="preserve">B - Incidência do FGTS sobre Aviso Prévio Indenizado</t>
  </si>
  <si>
    <t xml:space="preserve">C - Multa do FGTS sobre Aviso Prévio Indenizado</t>
  </si>
  <si>
    <t xml:space="preserve">D - Aviso Prévio Trabalhado (Ver nota – abaixo*)</t>
  </si>
  <si>
    <t xml:space="preserve">E - Incidência do submódulo 2.2 sobre o Aviso Prévio Trabalhado</t>
  </si>
  <si>
    <t xml:space="preserve">F- Multa do FGTS sobre Aviso Prévio Trabalhado</t>
  </si>
  <si>
    <t xml:space="preserve">MÓDULO 4: CUSTO DE REPOSIÇÃO DO PROFISSIONAL AUSENTE</t>
  </si>
  <si>
    <t xml:space="preserve">4.1 - Substituto nas Ausências Legais</t>
  </si>
  <si>
    <t xml:space="preserve">A - Substituto na cobertura de Férias</t>
  </si>
  <si>
    <t xml:space="preserve">B – Substituto na cobertura de Ausências Legais</t>
  </si>
  <si>
    <t xml:space="preserve">C - Substituto na cobertura de Licença Paternidade</t>
  </si>
  <si>
    <t xml:space="preserve">D - Substituto na cobertura de Ausências por acidente de trabalho</t>
  </si>
  <si>
    <t xml:space="preserve">E -Substituto na cobertura de Afastamento Maternidade</t>
  </si>
  <si>
    <t xml:space="preserve">F- Outros</t>
  </si>
  <si>
    <t xml:space="preserve">Subtotal</t>
  </si>
  <si>
    <t xml:space="preserve">4.2 - Substituto na Intrajornada</t>
  </si>
  <si>
    <t xml:space="preserve">A - Substituto na cobertura de Intervalo para repouso ou alimentação</t>
  </si>
  <si>
    <t xml:space="preserve">4 - Custo de Reposição do Profissional Ausente</t>
  </si>
  <si>
    <t xml:space="preserve">MÓDULO 5: INSUMOS DE MÃO DE OBRA</t>
  </si>
  <si>
    <t xml:space="preserve">5 - Insumos Diversos</t>
  </si>
  <si>
    <t xml:space="preserve">A - Uniformes</t>
  </si>
  <si>
    <t xml:space="preserve">B - Materiais e utensílios</t>
  </si>
  <si>
    <t xml:space="preserve">C - Equipamentos</t>
  </si>
  <si>
    <t xml:space="preserve">D - EPIs</t>
  </si>
  <si>
    <t xml:space="preserve">E - Outros</t>
  </si>
  <si>
    <t xml:space="preserve">F -  Outros</t>
  </si>
  <si>
    <t xml:space="preserve">G - Outros</t>
  </si>
  <si>
    <t xml:space="preserve">MÓDULO 6: CUSTOS INDIRETOS, TRIBUTOS E LUCRO</t>
  </si>
  <si>
    <t xml:space="preserve">6 - Custos Indiretos, Tributos e Lucro</t>
  </si>
  <si>
    <t xml:space="preserve">A - Custos Indiretos</t>
  </si>
  <si>
    <t xml:space="preserve">B - Lucro</t>
  </si>
  <si>
    <t xml:space="preserve">C - Tributos  (ISS 2,00%)</t>
  </si>
  <si>
    <t xml:space="preserve">C.1 - Tributos Federais (PIS e COFINS)</t>
  </si>
  <si>
    <t xml:space="preserve">C.3 - Tributos Municipais (especificar)</t>
  </si>
  <si>
    <t xml:space="preserve">C - Tributos  (ISS 2,50%)</t>
  </si>
  <si>
    <t xml:space="preserve">C - Tributos  (ISS 3,00%)</t>
  </si>
  <si>
    <t xml:space="preserve">C - Tributos  (ISS 3,50%)</t>
  </si>
  <si>
    <t xml:space="preserve">C - Tributos  (ISS 4%)</t>
  </si>
  <si>
    <t xml:space="preserve">C - Tributos  (ISS 5,00%)</t>
  </si>
  <si>
    <t xml:space="preserve">Total Tributos por ISS Municipal</t>
  </si>
  <si>
    <t xml:space="preserve">C.4 - Outros Tributos (especificar)</t>
  </si>
  <si>
    <t xml:space="preserve">QUADRO RESUMO DO CUSTO POR EMPREGADO</t>
  </si>
  <si>
    <t xml:space="preserve">Mão de obra vinculada à execução contratual </t>
  </si>
  <si>
    <t xml:space="preserve">A - Módulo 1 - Composição da Remuneração</t>
  </si>
  <si>
    <t xml:space="preserve">B - Módulo 2 - Encargos e Benefícios Anuais, Mensais e Diários</t>
  </si>
  <si>
    <t xml:space="preserve">C - Módulo 3 - Provisão para Rescisão</t>
  </si>
  <si>
    <t xml:space="preserve">D - Módulo 4 - Custos de Reposição do Profissional Ausente</t>
  </si>
  <si>
    <t xml:space="preserve">E - Módulo 5 - Insumos Diversos</t>
  </si>
  <si>
    <t xml:space="preserve">Subtotal (A + B + C + D + E)</t>
  </si>
  <si>
    <t xml:space="preserve">F - Módulo 6 - Custos Indiretos, Tributos e Lucro </t>
  </si>
  <si>
    <t xml:space="preserve">TOTAL POR POSTO/MÊS </t>
  </si>
  <si>
    <t xml:space="preserve">TOTAL HORAS EVENTUAIS</t>
  </si>
  <si>
    <t xml:space="preserve">*Nota com relação ao Aviso Prévio Trabalhado: 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 </t>
  </si>
  <si>
    <t xml:space="preserve">RIO GRANDE DO SUL - Santa Rosa</t>
  </si>
  <si>
    <t xml:space="preserve">RIO GRANDE DO SUL - Santa Cruz do Sul</t>
  </si>
  <si>
    <t xml:space="preserve">C - Tributos  (ISS 2,5%)</t>
  </si>
  <si>
    <t xml:space="preserve">PLANILHA DE CUSTOS E FORMAÇÃO DE PREÇOS - GRUPO 2</t>
  </si>
  <si>
    <t xml:space="preserve">RIO GRANDE DO SUL - Erechim e Getúlio Vargas</t>
  </si>
  <si>
    <t xml:space="preserve">MEMÓRIA DE CÁLCULO - Processo 35014.236158/2024-27</t>
  </si>
  <si>
    <t xml:space="preserve">Premissas Utilizadas</t>
  </si>
  <si>
    <t xml:space="preserve">Quantidade média de dias úteis no mês</t>
  </si>
  <si>
    <t xml:space="preserve">Quantidade de dias no mês</t>
  </si>
  <si>
    <t xml:space="preserve">Módulo 1 - Salário Normativo da Categoria </t>
  </si>
  <si>
    <t xml:space="preserve">A - Salário base</t>
  </si>
  <si>
    <t xml:space="preserve">Valor </t>
  </si>
  <si>
    <t xml:space="preserve">Data Base</t>
  </si>
  <si>
    <t xml:space="preserve">CBO</t>
  </si>
  <si>
    <t xml:space="preserve">Abrangência da CCT</t>
  </si>
  <si>
    <t xml:space="preserve">44h e 12x36</t>
  </si>
  <si>
    <t xml:space="preserve">Porto Alegre e região metropolitana</t>
  </si>
  <si>
    <t xml:space="preserve">RS000303/2024</t>
  </si>
  <si>
    <t xml:space="preserve">5173-30</t>
  </si>
  <si>
    <t xml:space="preserve">Santa Rosa</t>
  </si>
  <si>
    <t xml:space="preserve">RS000385/2024</t>
  </si>
  <si>
    <t xml:space="preserve">Santa Cruz do Sul</t>
  </si>
  <si>
    <t xml:space="preserve">RS000275/2024</t>
  </si>
  <si>
    <t xml:space="preserve">Erechim e Getúlio Vargas</t>
  </si>
  <si>
    <t xml:space="preserve">RS000799/2024</t>
  </si>
  <si>
    <t xml:space="preserve">(Lei nº 12.740/2012) (30% do Salário-Base)</t>
  </si>
  <si>
    <t xml:space="preserve">C - Adicional Noturno ((cláusulas 27 CCT 2021/2023)</t>
  </si>
  <si>
    <r>
      <rPr>
        <b val="true"/>
        <sz val="9"/>
        <color rgb="FF333333"/>
        <rFont val="Calibri"/>
        <family val="0"/>
        <charset val="1"/>
      </rPr>
      <t xml:space="preserve"> Base de Cálculo </t>
    </r>
    <r>
      <rPr>
        <sz val="9"/>
        <color rgb="FF333333"/>
        <rFont val="Calibri"/>
        <family val="0"/>
        <charset val="1"/>
      </rPr>
      <t xml:space="preserve">=  salário base + periculosidade/220;  </t>
    </r>
    <r>
      <rPr>
        <b val="true"/>
        <sz val="9"/>
        <color rgb="FF333333"/>
        <rFont val="Calibri"/>
        <family val="0"/>
        <charset val="1"/>
      </rPr>
      <t xml:space="preserve">Quantidades horas mês: </t>
    </r>
    <r>
      <rPr>
        <sz val="9"/>
        <color rgb="FF333333"/>
        <rFont val="Calibri"/>
        <family val="0"/>
        <charset val="1"/>
      </rPr>
      <t xml:space="preserve">7h de 60min p/dia + 1 h reduzida noturna p/dia = 8h;  </t>
    </r>
    <r>
      <rPr>
        <b val="true"/>
        <sz val="9"/>
        <color rgb="FF333333"/>
        <rFont val="Calibri"/>
        <family val="0"/>
        <charset val="1"/>
      </rPr>
      <t xml:space="preserve">Percentual: </t>
    </r>
    <r>
      <rPr>
        <sz val="9"/>
        <color rgb="FF333333"/>
        <rFont val="Calibri"/>
        <family val="0"/>
        <charset val="1"/>
      </rPr>
      <t xml:space="preserve">20%
 </t>
    </r>
    <r>
      <rPr>
        <b val="true"/>
        <sz val="9"/>
        <color rgb="FF333333"/>
        <rFont val="Calibri"/>
        <family val="0"/>
        <charset val="1"/>
      </rPr>
      <t xml:space="preserve">Fórmula da rubrica:</t>
    </r>
    <r>
      <rPr>
        <sz val="9"/>
        <color rgb="FF333333"/>
        <rFont val="Calibri"/>
        <family val="0"/>
        <charset val="1"/>
      </rPr>
      <t xml:space="preserve"> Base de Cálculo x horas mês x percentual</t>
    </r>
  </si>
  <si>
    <t xml:space="preserve">D - Adicional de Hora Noturna Reduzida (cláusula 28 da CCT 2021/2023)</t>
  </si>
  <si>
    <r>
      <rPr>
        <sz val="9"/>
        <color rgb="FF333333"/>
        <rFont val="Calibri"/>
        <family val="0"/>
        <charset val="1"/>
      </rPr>
      <t xml:space="preserve"> É paga como Hora Extra Noturno que excedeu de 190,67h - </t>
    </r>
    <r>
      <rPr>
        <b val="true"/>
        <sz val="9"/>
        <color rgb="FF333333"/>
        <rFont val="Calibri"/>
        <family val="0"/>
        <charset val="1"/>
      </rPr>
      <t xml:space="preserve"> Base de Cálculo </t>
    </r>
    <r>
      <rPr>
        <sz val="9"/>
        <color rgb="FF333333"/>
        <rFont val="Calibri"/>
        <family val="0"/>
        <charset val="1"/>
      </rPr>
      <t xml:space="preserve">=  (salário base + periculosidade)/220;  </t>
    </r>
    <r>
      <rPr>
        <b val="true"/>
        <sz val="9"/>
        <color rgb="FF333333"/>
        <rFont val="Calibri"/>
        <family val="0"/>
        <charset val="1"/>
      </rPr>
      <t xml:space="preserve">Quantidades horas Extras Mês: </t>
    </r>
    <r>
      <rPr>
        <sz val="9"/>
        <color rgb="FF333333"/>
        <rFont val="Calibri"/>
        <family val="0"/>
        <charset val="1"/>
      </rPr>
      <t xml:space="preserve">195h (=180h + 15h) - 190,67 = 4,33h;  </t>
    </r>
    <r>
      <rPr>
        <b val="true"/>
        <sz val="9"/>
        <color rgb="FF333333"/>
        <rFont val="Calibri"/>
        <family val="0"/>
        <charset val="1"/>
      </rPr>
      <t xml:space="preserve">Percentual:</t>
    </r>
    <r>
      <rPr>
        <sz val="9"/>
        <color rgb="FF333333"/>
        <rFont val="Calibri"/>
        <family val="0"/>
        <charset val="1"/>
      </rPr>
      <t xml:space="preserve"> 1,5%
</t>
    </r>
    <r>
      <rPr>
        <b val="true"/>
        <sz val="9"/>
        <color rgb="FF333333"/>
        <rFont val="Calibri"/>
        <family val="0"/>
        <charset val="1"/>
      </rPr>
      <t xml:space="preserve"> Fórmula da rubrica:</t>
    </r>
    <r>
      <rPr>
        <sz val="9"/>
        <color rgb="FF333333"/>
        <rFont val="Calibri"/>
        <family val="0"/>
        <charset val="1"/>
      </rPr>
      <t xml:space="preserve"> Base de Cálculo x horas mês x percentual"				
				</t>
    </r>
  </si>
  <si>
    <r>
      <rPr>
        <sz val="9"/>
        <color rgb="FF333333"/>
        <rFont val="Calibri"/>
        <family val="0"/>
        <charset val="1"/>
      </rPr>
      <t xml:space="preserve">Não fazem parte das verbas rescisórias (Férias, 13º, etc)</t>
    </r>
    <r>
      <rPr>
        <b val="true"/>
        <sz val="9"/>
        <color rgb="FF333333"/>
        <rFont val="Calibri"/>
        <family val="0"/>
        <charset val="1"/>
      </rPr>
      <t xml:space="preserve"> -  </t>
    </r>
    <r>
      <rPr>
        <sz val="9"/>
        <color rgb="FF333333"/>
        <rFont val="Calibri"/>
        <family val="0"/>
        <charset val="1"/>
      </rPr>
      <t xml:space="preserve">Empregado só recebe enquanto trabalha;</t>
    </r>
    <r>
      <rPr>
        <b val="true"/>
        <sz val="9"/>
        <color rgb="FF333333"/>
        <rFont val="Calibri"/>
        <family val="0"/>
        <charset val="1"/>
      </rPr>
      <t xml:space="preserve"> Fórmula da rubrica:</t>
    </r>
    <r>
      <rPr>
        <sz val="9"/>
        <color rgb="FF333333"/>
        <rFont val="Calibri"/>
        <family val="0"/>
        <charset val="1"/>
      </rPr>
      <t xml:space="preserve"> Valor da hora normal x1,5x quantidade de horas ( considerado 30min)</t>
    </r>
  </si>
  <si>
    <t xml:space="preserve">F - Adicional de Troca de Uniforme  (cláusulas 16 e 31, §7º, da CCT 2021/2023)</t>
  </si>
  <si>
    <t xml:space="preserve">10 minutos (5 para colocar e 5 para retirar) por dia de efetivo serviço, na razão de 1/6 (um sexto) do valor da hora normal do vigilante</t>
  </si>
  <si>
    <t xml:space="preserve">G - Reflexo DSR  (cláusula 32 da CCT 2021/2023)</t>
  </si>
  <si>
    <t xml:space="preserve">20% dos valores pagos a titulo de horas extras e adicionais noturnos</t>
  </si>
  <si>
    <t xml:space="preserve">Valor posto de monitoramento </t>
  </si>
  <si>
    <t xml:space="preserve">Valor baseado em Pesquisa de Preços anexa ao Processo</t>
  </si>
  <si>
    <t xml:space="preserve">módulo 2 - Benefícios Mensais e Diários</t>
  </si>
  <si>
    <t xml:space="preserve">Módulo 2.3 </t>
  </si>
  <si>
    <t xml:space="preserve">B - Auxílio-Refeição/Alimentação - por dia trabalhado</t>
  </si>
  <si>
    <t xml:space="preserve">Desconto</t>
  </si>
  <si>
    <t xml:space="preserve">Módulo 3</t>
  </si>
  <si>
    <t xml:space="preserve">A - Aviso Prévio Indenizado → Fórmula do Percentual: 1/12 x 5% = 0,42%; Fórmula: Total da Remuneração x 0,42%</t>
  </si>
  <si>
    <t xml:space="preserve">→ Proporção estimada dos empregados demitidos com Aviso Prévio Indenizado, no primeiro período de 12 meses, durante a vigência do contrato: 5%. </t>
  </si>
  <si>
    <t xml:space="preserve">→ Esse percentual poderá ser alterado conforme realidade específica da licitante na fase de seleção do fornecedor (indicador específico da empresa) e de gestão do contrato (prorrogação).</t>
  </si>
  <si>
    <t xml:space="preserve">B - Incidência do FGTS sobre Aviso Prévio Indenizado → Fórmula do Percentual: Percentual do FGTS (8%) x Percentual do Aviso Prévio Indenizado (0,42%) = 0,03% ; Fórmula da rubrica: Total da Remuneração x 0,03% </t>
  </si>
  <si>
    <t xml:space="preserve">→ Súmula nº 305 do TST: O pagamento relativo ao período de aviso prévio, trabalhado ou não, está sujeito a contribuição para o FGTS. </t>
  </si>
  <si>
    <t xml:space="preserve">C - Multa do FGTS sobre Aviso Prévio Indenizado </t>
  </si>
  <si>
    <t xml:space="preserve">(Considerando que a multa do FGTS  incide uma única vez sobre a totalidade dos meses de contrato, independentemente da espécie de Aviso Prévio  - trabalhado ou indenizado -,  zeramos essa rubrica e aportamos na sua totalidade na alínea “f” deste mesmo módulo.)</t>
  </si>
  <si>
    <t xml:space="preserve">D - Aviso Prévio Trabalhado → Fórmula do Percentual: 1 / 30 dias x 7 dias / 12 meses = 1,94%; Fórmula: Total da Remuneração x 1,94%</t>
  </si>
  <si>
    <t xml:space="preserve">→ Foi considerado que 100% dos empregados seriam demitidos com Aviso Prévio Trabalhado ao final do contrato.</t>
  </si>
  <si>
    <t xml:space="preserve">Acórdão TCU 1586/2018-P: Os contratos deverão estabelecer um percentual máximo de 1,94% no primeiro ano e, em caso de prorrogação do contrato, uma parcela de 0,194% para os anos subsequentes. Esse segundo caso deverá ocorrer quando for formulado aditivo da prorrogação do contrato, conforme estabelece a Lei nº 12.506/2011. </t>
  </si>
  <si>
    <t xml:space="preserve">Acórdão 1.186/2017-P: Esta parcela e seus reflexos  deverão ser reduzidos após o primeiro ano da contratação para o percentual máximo de 0,194% e, 0,072%, respectivamente. Nas prorrogações deverá constar da planilha de custos somente a previsão da extensão do aviso prévio, consoante disposto na Lei nº 12.506/2011, de 03 dias a mais por ano trabalhado, até o limite máximo de 42 dias, haja vista que os contratos poderão ser prorrogados até 60 meses.</t>
  </si>
  <si>
    <t xml:space="preserve">E - Incidência do submódulo 2.2 sobre o Aviso Prévio Trabalhado→ Fórmula do Percentual: APT (1,94%) x Total do Percentual do Submódulo 2.2 ; Fórmula da rubrica: Total da Remuneração x 0,72%</t>
  </si>
  <si>
    <t xml:space="preserve">F - Multa FGTS e contribuição social → Fórmula do Percentual: Fórmula do Percentual: Alíquota do FGTS (8%) x Multa do FGTS (40%) x 90% x [(1 + (1/12) + (1/12) + (1/3 x 1/12)] = 3,44%; Fórmula da rubrica: Total da Remuneração x 3,44% </t>
  </si>
  <si>
    <t xml:space="preserve">→ Conforme estudos do CNJ, contidos na Resolução nº 98/2009, estima-se que 10% das rescisões ocorrem por iniciativa dos empregados, ao passo que essa provisão deve ser feita sobre os 90% dos empregados restantes</t>
  </si>
  <si>
    <t xml:space="preserve">Módulo 4</t>
  </si>
  <si>
    <t xml:space="preserve">A - Substituto na cobertura de Férias → Provisão para as despesas com o pagamento do substituto do empregado residente, quando este se ausentar em razões de suas férias: Fórmula do Percentual: 1/12 = 8,33%; Fórmula: (MÓDULO 1 + 2 + 3) x 8,33%</t>
  </si>
  <si>
    <t xml:space="preserve">→ O percentual de 8,33% foi extraído da decisão contida no Acórdão TCU nº 158/2022 -P.</t>
  </si>
  <si>
    <t xml:space="preserve">B – Subs. cobertura de Ausências Legais → Provisão para cobertura das despesas eventuais com outras faltas legais (justificadas ou abonadas por lei) - Fórmula do Percentual: Média de ausências por ano * (2,96) / dias do mês (30) / doze meses = 0,82%;    Fórmula: (MÓDULOS 1 + 2 + 3) x 0,82%</t>
  </si>
  <si>
    <t xml:space="preserve">→ A média de 2,96 dias de ausências legais por ano foi extraída do Acórdão TCU nº 1.753/2008/2008 -P.</t>
  </si>
  <si>
    <t xml:space="preserve">C - Subst. cobertura de Licença Paternidade → Fórmula do Percentual: (20 / 30 / 12) × [estimativa de homens em respectivo serviço] x [taxa bruta de natalidade]= 0,07 ;    Fórmula: (MÓDULO 1 + 2 + 3) x 0,07%</t>
  </si>
  <si>
    <t xml:space="preserve">[taxa bruta de natalidade] = Índice resultante da divisão entre o total de nascidos vivos no Brasil com a população estimada total no mesmo ano. Segundo o IBGE, essa taxa é de 13,56 por mil hab., ou 1,356% em 2022.   </t>
  </si>
  <si>
    <t xml:space="preserve">Percentual de Homens na vigilância 89%</t>
  </si>
  <si>
    <t xml:space="preserve">Funcionários de empresas que fazem parte do Programa Empresa Cidadã têm o período de licença ampliado para 20 dias</t>
  </si>
  <si>
    <t xml:space="preserve">D - Subst.  cobertura de Ausências por acidente de trabalho →  Lei  8.213/91 obriga o empregador a assumir o ônus financeiro pelo prazo de 15 dias, no caso de acidente de trabalho previsto no art. 131 da CLT. Fórmula do Percentual: {[(15 / 30) / 12] x (B91 concedidos ÷ Total Trabalhadores} x 100  = 1,34% ; Fórmula: (MÓDULO 1 + 2 + 3) x 1,34%</t>
  </si>
  <si>
    <t xml:space="preserve">[(15/30) / 12] = Estimativa de 1 (uma) licença de 30 (trinta) dias por ano, considerando que os primeiros quinze dias são encargo do empregador. </t>
  </si>
  <si>
    <t xml:space="preserve">B91 (auxílio-doença acidentário) concedidos em 2022: 148.775. Dados nacionais extraídos do Observatório de Saúde e Segurança do Trabalho. </t>
  </si>
  <si>
    <t xml:space="preserve">Total Trabalhadores = Dados nacionais extraídos do Anuário RAIS 2021. Em 2020 esse número foi de 46.236.176.  </t>
  </si>
  <si>
    <t xml:space="preserve">4.3 - Afastamento Maternidade: {[(180 / 30) / 12] x [taxa bruta de natalidade] x [estimativa de mulheres no respectivo serviço] x [total de encargos sociais]} x 100 =0,03% ; Fórmula da rubrica: (Módulo 1 + Módulo 2 + Módulo 3) x % 0,03. </t>
  </si>
  <si>
    <t xml:space="preserve">[(180 / 30) /12] = estimativa de seis meses no ano de afastamento maternidade  </t>
  </si>
  <si>
    <t xml:space="preserve">[taxa bruta de natalidade] = mesmo índice aplicado no item 4.1.C.   </t>
  </si>
  <si>
    <t xml:space="preserve">[total de encargos sociais] = Somatório dos percentuais aplicados no submódulo 2.2 </t>
  </si>
  <si>
    <t xml:space="preserve">Módulo 6</t>
  </si>
  <si>
    <t xml:space="preserve">INSUMOS - Serviço Vigilância</t>
  </si>
  <si>
    <t xml:space="preserve">ESTIMATIVA ANUAL DE UNIFORMES POR VIGILANTE</t>
  </si>
  <si>
    <t xml:space="preserve">ITEM</t>
  </si>
  <si>
    <t xml:space="preserve">DISCRIMINAÇÃO</t>
  </si>
  <si>
    <t xml:space="preserve">QUANTIDADE</t>
  </si>
  <si>
    <t xml:space="preserve">VALOR MEDIANO ESTIMADO</t>
  </si>
  <si>
    <t xml:space="preserve">VALOR TOTAL</t>
  </si>
  <si>
    <t xml:space="preserve">Camisa uniforme com logotipo</t>
  </si>
  <si>
    <t xml:space="preserve">Calça uniforme</t>
  </si>
  <si>
    <t xml:space="preserve">Crachá de PVC com jacaré</t>
  </si>
  <si>
    <t xml:space="preserve">Jaqueta de Naylon (ou similar)</t>
  </si>
  <si>
    <t xml:space="preserve">Boné com logotipo (ou similar)</t>
  </si>
  <si>
    <t xml:space="preserve">Sapato ou Coturno </t>
  </si>
  <si>
    <t xml:space="preserve">par</t>
  </si>
  <si>
    <t xml:space="preserve">TOTAL ANUAL DE UNIFORMES</t>
  </si>
  <si>
    <t xml:space="preserve">CUSTO MENSAL DE UNIFORMES POR VIGILANTE</t>
  </si>
  <si>
    <t xml:space="preserve">MATERIAIS E EQUIPAMENTOS POR POSTO </t>
  </si>
  <si>
    <t xml:space="preserve">VALOR TOTAL - depreciação anual </t>
  </si>
  <si>
    <t xml:space="preserve">Cassetete/Tonfa </t>
  </si>
  <si>
    <t xml:space="preserve">Cinto Tático</t>
  </si>
  <si>
    <t xml:space="preserve">Porta cassetete/Tonfa </t>
  </si>
  <si>
    <t xml:space="preserve">Apito c/ cordão</t>
  </si>
  <si>
    <t xml:space="preserve">Livro de ocorrência capa dura (3 POR UNIDADE)</t>
  </si>
  <si>
    <t xml:space="preserve">Detector metais portátil (1 POR ENTRADA)</t>
  </si>
  <si>
    <t xml:space="preserve">Lanterna Tática Led recarregável ( 1 vig. Noturno)</t>
  </si>
  <si>
    <t xml:space="preserve">Capa de chuva (1 POR ENTRADA)</t>
  </si>
  <si>
    <t xml:space="preserve">Relógio de Ponto Eletrônico (1 POR UNIDADE)*</t>
  </si>
  <si>
    <t xml:space="preserve">CUSTO MENSAL PARA O POSTO</t>
  </si>
  <si>
    <t xml:space="preserve">Obs: Para os itens de 1 a 8 -Taxa de depreciação de 20% ao ano, com vida útil de 5 anos, sem valor residual</t>
  </si>
  <si>
    <t xml:space="preserve"> *Para o item de 9 - Taxa de depreciação de 10% ao ano, depreciação Anual conforme tabela da RFB</t>
  </si>
  <si>
    <t xml:space="preserve">SUPERINTENDÊNCIA REGIONAL SUL – SRSUL</t>
  </si>
  <si>
    <t xml:space="preserve">Quantidades</t>
  </si>
  <si>
    <t xml:space="preserve">VT R$</t>
  </si>
  <si>
    <t xml:space="preserve">QTD VIGILANTES</t>
  </si>
  <si>
    <t xml:space="preserve">MÉDIA PONDERADA</t>
  </si>
  <si>
    <t xml:space="preserve">RIO GRANDE DO SUL 1</t>
  </si>
  <si>
    <t xml:space="preserve">4,00</t>
  </si>
  <si>
    <t xml:space="preserve">3,70</t>
  </si>
  <si>
    <t xml:space="preserve">3,20</t>
  </si>
  <si>
    <t xml:space="preserve">2,95</t>
  </si>
  <si>
    <t xml:space="preserve">2,75</t>
  </si>
  <si>
    <t xml:space="preserve">4,45</t>
  </si>
  <si>
    <t xml:space="preserve">5,00</t>
  </si>
  <si>
    <t xml:space="preserve">3,40</t>
  </si>
  <si>
    <t xml:space="preserve">3,90</t>
  </si>
  <si>
    <t xml:space="preserve">5,50</t>
  </si>
  <si>
    <t xml:space="preserve">APS SÃO GABRIEL</t>
  </si>
  <si>
    <t xml:space="preserve">APS  URUGUAIANA</t>
  </si>
  <si>
    <t xml:space="preserve">PLANILHA ESTIMATIVA - ANEXO II</t>
  </si>
  <si>
    <t xml:space="preserve">Planilha Estimativa de Custos e Formação de Preços para Serviços de Vigilância</t>
  </si>
  <si>
    <t xml:space="preserve">ESTADO DO RIO GRANDE DO SUL</t>
  </si>
  <si>
    <t xml:space="preserve">RS000667/2021 RS000733/2021 RS000752/2021 RS001004/2021</t>
  </si>
  <si>
    <t xml:space="preserve">Posto de 30 horas semanais de segunda sexta DIURNO</t>
  </si>
  <si>
    <t xml:space="preserve">Posto de 44 horas semanais de segunda sexta DIURNO</t>
  </si>
  <si>
    <t xml:space="preserve">Posto de 44 horas semanais de segunda sexta NOTURNO</t>
  </si>
  <si>
    <t xml:space="preserve">Posto de 12 x 36 diurno de segunda a domingo</t>
  </si>
  <si>
    <t xml:space="preserve">Posto de 12 x 36 noturno de segunda a domingo</t>
  </si>
  <si>
    <t xml:space="preserve">A - Salário-Base</t>
  </si>
  <si>
    <t xml:space="preserve">C - Adicional de Insalubridade</t>
  </si>
  <si>
    <t xml:space="preserve">D - Adicional Noturno</t>
  </si>
  <si>
    <t xml:space="preserve">E - Adicional de Hora Noturna Reduzida</t>
  </si>
  <si>
    <t xml:space="preserve">F - Adicional de DSR</t>
  </si>
  <si>
    <t xml:space="preserve">E - Adicional de Troca de Uniforme</t>
  </si>
  <si>
    <t xml:space="preserve">B - Férias</t>
  </si>
  <si>
    <t xml:space="preserve">C - Adicional de Férias</t>
  </si>
  <si>
    <t xml:space="preserve">2.2.2 - FGTS</t>
  </si>
  <si>
    <t xml:space="preserve">A - FGTS</t>
  </si>
  <si>
    <t xml:space="preserve">A - Transporte 70% de utilização</t>
  </si>
  <si>
    <t xml:space="preserve">B - Auxílio-Refeição/Alimentação ( COM DESCONTO DE 20% - CCT RS)</t>
  </si>
  <si>
    <t xml:space="preserve">C - Outros (especificar)</t>
  </si>
  <si>
    <t xml:space="preserve">D - Outros (especificar)</t>
  </si>
  <si>
    <t xml:space="preserve">2 - Encargos e Benefícios Anuais, Mensais e Diários</t>
  </si>
  <si>
    <t xml:space="preserve">3.1 - Aviso Prévio Indenizado</t>
  </si>
  <si>
    <t xml:space="preserve">B - Multa do FGTS sobre Aviso Prévio Indenizado (incide sobre item 2.2.2)</t>
  </si>
  <si>
    <t xml:space="preserve">3.2 - Aviso Prévio Trabalhado</t>
  </si>
  <si>
    <t xml:space="preserve">A - Aviso Prévio Trabalhado</t>
  </si>
  <si>
    <t xml:space="preserve">B - Multa do FGTS sobre Aviso Prévio Trabalhado (incide sobre item 2.2.2)</t>
  </si>
  <si>
    <t xml:space="preserve">3.3 - Demissão por Justa Causa</t>
  </si>
  <si>
    <t xml:space="preserve">A - Valor Provisionado do 13º Salário</t>
  </si>
  <si>
    <t xml:space="preserve">B - Valor Provisionado de Férias</t>
  </si>
  <si>
    <t xml:space="preserve">C - Valor Provisionado do Adicional de Férias</t>
  </si>
  <si>
    <t xml:space="preserve">B - Aviso Prévio Trabalhado</t>
  </si>
  <si>
    <t xml:space="preserve">C - Demissão por Justa Causa</t>
  </si>
  <si>
    <t xml:space="preserve">4.1 - Ausências Legais</t>
  </si>
  <si>
    <t xml:space="preserve">A - Férias</t>
  </si>
  <si>
    <t xml:space="preserve">B – Ausências Legais</t>
  </si>
  <si>
    <t xml:space="preserve">C - Licença-Paternidade</t>
  </si>
  <si>
    <t xml:space="preserve">D - Ausências por acidente de trabalho</t>
  </si>
  <si>
    <t xml:space="preserve">4.2 - Intrajornada</t>
  </si>
  <si>
    <t xml:space="preserve">A - Intervalo para repouso ou alimentação (intrajornada indenizado)</t>
  </si>
  <si>
    <t xml:space="preserve">A - Ausências Legais</t>
  </si>
  <si>
    <t xml:space="preserve">B - Intrajornada</t>
  </si>
  <si>
    <t xml:space="preserve">B - Materiais e equipamentos</t>
  </si>
  <si>
    <t xml:space="preserve">C - EPI COVID-19</t>
  </si>
  <si>
    <t xml:space="preserve">C - Tributos (ISS 2,00%)</t>
  </si>
  <si>
    <t xml:space="preserve">C - Tributos (ISS 2,50%)</t>
  </si>
  <si>
    <t xml:space="preserve">C - Tributos (ISS 3,00%)</t>
  </si>
  <si>
    <t xml:space="preserve">C - Tributos (ISS 3,50%)</t>
  </si>
  <si>
    <t xml:space="preserve">C - Tributos (ISS 4,00%)</t>
  </si>
  <si>
    <t xml:space="preserve">C - Tributos (ISS 5,00%)</t>
  </si>
  <si>
    <t xml:space="preserve">QUADRO RESUMO DO CUSTO POR POSTO DE SERVIÇO</t>
  </si>
  <si>
    <t xml:space="preserve">Mão de obra vinculada à execução contratual (valor por Posto)</t>
  </si>
  <si>
    <t xml:space="preserve">E - Módulo 5 - Insumos da Mão de Obra</t>
  </si>
  <si>
    <t xml:space="preserve">F - Módulo 6 - Custos Indiretos, Tributos e Lucro (ISS 2,00%)</t>
  </si>
  <si>
    <t xml:space="preserve">F - Módulo 6 - Custos Indiretos, Tributos e Lucro (ISS 2,50%)</t>
  </si>
  <si>
    <t xml:space="preserve">F - Módulo 6 - Custos Indiretos, Tributos e Lucro (ISS 3,00%)</t>
  </si>
  <si>
    <t xml:space="preserve">F - Módulo 6 - Custos Indiretos, Tributos e Lucro (ISS 3,50%)</t>
  </si>
  <si>
    <t xml:space="preserve">F - Módulo 6 - Custos Indiretos, Tributos e Lucro (ISS 4,00%)</t>
  </si>
  <si>
    <t xml:space="preserve">F - Módulo 6 - Custos Indiretos, Tributos e Lucro (ISS 5,00%)</t>
  </si>
  <si>
    <t xml:space="preserve">VALOR TOTAL POR POSTO</t>
  </si>
  <si>
    <t xml:space="preserve">ISS 2,00%</t>
  </si>
  <si>
    <t xml:space="preserve">ISS 2,50%</t>
  </si>
  <si>
    <t xml:space="preserve">ISS 3,00%</t>
  </si>
  <si>
    <t xml:space="preserve">ISS 3,50%</t>
  </si>
  <si>
    <t xml:space="preserve">ISS 4,00%</t>
  </si>
  <si>
    <t xml:space="preserve">ISS 5,00%</t>
  </si>
  <si>
    <t xml:space="preserve">VALOR TOTAL POR EMPREGADO</t>
  </si>
  <si>
    <t xml:space="preserve">VALOR DA HORA HORISTA</t>
  </si>
  <si>
    <t xml:space="preserve">E - Adicional de Troca de Uniforme (excluído CCT RS001583/2021)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</si>
</sst>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0%"/>
    <numFmt numFmtId="166" formatCode="* #,##0.00\ ;\-* #,##0.00\ ;* \-#\ ;@\ "/>
    <numFmt numFmtId="167" formatCode="#,##0.00"/>
    <numFmt numFmtId="168" formatCode="0.00%"/>
    <numFmt numFmtId="169" formatCode="_-[$R$-416]\ * #,##0.00_-;\-[$R$-416]\ * #,##0.00_-;_-[$R$-416]\ * \-??_-;_-@_-"/>
    <numFmt numFmtId="170" formatCode="&quot;R$ &quot;#,##0.00"/>
    <numFmt numFmtId="171" formatCode="General"/>
    <numFmt numFmtId="172" formatCode="#,##0"/>
    <numFmt numFmtId="173" formatCode="_-&quot;R$ &quot;* #,##0.00_-;&quot;-R$ &quot;* #,##0.00_-;_-&quot;R$ &quot;* \-??_-;_-@_-"/>
    <numFmt numFmtId="174" formatCode="0.00"/>
    <numFmt numFmtId="175" formatCode="d/m/yyyy"/>
    <numFmt numFmtId="176" formatCode="#,##0.00\ ;\(#,##0.00\);\-#\ ;@\ "/>
    <numFmt numFmtId="177" formatCode="&quot;R$ &quot;#,##0.00\ ;[RED]&quot;(R$ &quot;#,##0.00\)"/>
    <numFmt numFmtId="178" formatCode="_-* #,##0.00_-;\-* #,##0.00_-;_-* \-??_-;_-@_-"/>
    <numFmt numFmtId="179" formatCode="&quot;R$ &quot;#,##0.00;[RED]&quot;-R$ &quot;#,##0.00"/>
    <numFmt numFmtId="180" formatCode="[$R$-416]\ #,##0.00;[RED]\-[$R$-416]\ #,##0.00"/>
    <numFmt numFmtId="181" formatCode="0.0000%"/>
  </numFmts>
  <fonts count="5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333333"/>
      <name val="Arial"/>
      <family val="2"/>
      <charset val="1"/>
    </font>
    <font>
      <sz val="10"/>
      <color rgb="FF333333"/>
      <name val="Arial"/>
      <family val="2"/>
      <charset val="1"/>
    </font>
    <font>
      <sz val="11"/>
      <color rgb="FF000000"/>
      <name val="Arial"/>
      <family val="2"/>
      <charset val="1"/>
    </font>
    <font>
      <sz val="18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1"/>
      <color rgb="FF00B0F0"/>
      <name val="Calibri"/>
      <family val="2"/>
      <charset val="1"/>
    </font>
    <font>
      <sz val="9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b val="true"/>
      <sz val="11"/>
      <color rgb="FFF711C9"/>
      <name val="Calibri"/>
      <family val="2"/>
      <charset val="1"/>
    </font>
    <font>
      <sz val="11"/>
      <color rgb="FFFFFFFF"/>
      <name val="Calibri"/>
      <family val="2"/>
      <charset val="1"/>
    </font>
    <font>
      <sz val="9"/>
      <color rgb="FFFFFFFF"/>
      <name val="Calibri"/>
      <family val="2"/>
      <charset val="1"/>
    </font>
    <font>
      <b val="true"/>
      <sz val="9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b val="true"/>
      <strike val="true"/>
      <sz val="11"/>
      <color rgb="FF000000"/>
      <name val="Calibri"/>
      <family val="2"/>
      <charset val="1"/>
    </font>
    <font>
      <strike val="true"/>
      <sz val="11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b val="true"/>
      <sz val="12"/>
      <color rgb="FF333333"/>
      <name val="Calibri"/>
      <family val="2"/>
      <charset val="1"/>
    </font>
    <font>
      <b val="true"/>
      <sz val="9"/>
      <color rgb="FF333333"/>
      <name val="Calibri"/>
      <family val="2"/>
      <charset val="1"/>
    </font>
    <font>
      <sz val="9"/>
      <color rgb="FF333333"/>
      <name val="Calibri"/>
      <family val="2"/>
      <charset val="1"/>
    </font>
    <font>
      <sz val="11"/>
      <color rgb="FF444444"/>
      <name val="Aptos Narrow"/>
      <family val="0"/>
      <charset val="1"/>
    </font>
    <font>
      <b val="true"/>
      <sz val="10"/>
      <color rgb="FF333333"/>
      <name val="Calibri"/>
      <family val="2"/>
      <charset val="1"/>
    </font>
    <font>
      <sz val="10"/>
      <color rgb="FF000080"/>
      <name val="Calibri"/>
      <family val="2"/>
      <charset val="1"/>
    </font>
    <font>
      <sz val="10"/>
      <color rgb="FF339966"/>
      <name val="Calibri"/>
      <family val="2"/>
      <charset val="1"/>
    </font>
    <font>
      <b val="true"/>
      <sz val="10"/>
      <color rgb="FF808080"/>
      <name val="Calibri"/>
      <family val="2"/>
      <charset val="1"/>
    </font>
    <font>
      <sz val="10"/>
      <color rgb="FFFF0000"/>
      <name val="Calibri"/>
      <family val="2"/>
      <charset val="1"/>
    </font>
    <font>
      <b val="true"/>
      <sz val="18"/>
      <color rgb="FFFFFF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trike val="true"/>
      <sz val="11"/>
      <color rgb="FF2E75B6"/>
      <name val="Calibri"/>
      <family val="2"/>
      <charset val="1"/>
    </font>
    <font>
      <b val="true"/>
      <sz val="9"/>
      <color rgb="FF333333"/>
      <name val="Calibri"/>
      <family val="0"/>
      <charset val="1"/>
    </font>
    <font>
      <sz val="9"/>
      <color rgb="FF333333"/>
      <name val="Calibri"/>
      <family val="0"/>
      <charset val="1"/>
    </font>
    <font>
      <sz val="9"/>
      <color rgb="FF333333"/>
      <name val="Arial"/>
      <family val="2"/>
      <charset val="1"/>
    </font>
    <font>
      <i val="true"/>
      <sz val="9"/>
      <color rgb="FFFF0000"/>
      <name val="Calibri"/>
      <family val="2"/>
      <charset val="1"/>
    </font>
    <font>
      <sz val="9"/>
      <color rgb="FFFF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0"/>
      <name val="Calibri"/>
      <family val="2"/>
      <charset val="1"/>
    </font>
    <font>
      <sz val="11"/>
      <color rgb="FFFF0000"/>
      <name val="Arial"/>
      <family val="2"/>
      <charset val="1"/>
    </font>
    <font>
      <sz val="10"/>
      <color rgb="FF4472C4"/>
      <name val="Calibri"/>
      <family val="2"/>
      <charset val="1"/>
    </font>
    <font>
      <sz val="11"/>
      <color rgb="FF4472C4"/>
      <name val="Arial"/>
      <family val="2"/>
      <charset val="1"/>
    </font>
    <font>
      <sz val="11"/>
      <color rgb="FF203864"/>
      <name val="Arial"/>
      <family val="2"/>
      <charset val="1"/>
    </font>
    <font>
      <sz val="11"/>
      <color rgb="FF385724"/>
      <name val="Arial"/>
      <family val="2"/>
      <charset val="1"/>
    </font>
    <font>
      <sz val="10"/>
      <name val="Calibri"/>
      <family val="2"/>
      <charset val="1"/>
    </font>
    <font>
      <sz val="11"/>
      <color rgb="FF548235"/>
      <name val="Arial"/>
      <family val="2"/>
      <charset val="1"/>
    </font>
    <font>
      <b val="true"/>
      <sz val="14"/>
      <color rgb="FF000000"/>
      <name val="Calibri"/>
      <family val="2"/>
      <charset val="1"/>
    </font>
  </fonts>
  <fills count="35">
    <fill>
      <patternFill patternType="none"/>
    </fill>
    <fill>
      <patternFill patternType="gray125"/>
    </fill>
    <fill>
      <patternFill patternType="solid">
        <fgColor rgb="FFDAE3F3"/>
        <bgColor rgb="FFD9E1F2"/>
      </patternFill>
    </fill>
    <fill>
      <patternFill patternType="solid">
        <fgColor rgb="FF1F4E78"/>
        <bgColor rgb="FF1B4E7E"/>
      </patternFill>
    </fill>
    <fill>
      <patternFill patternType="solid">
        <fgColor rgb="FFD9E1F2"/>
        <bgColor rgb="FFDAE3F3"/>
      </patternFill>
    </fill>
    <fill>
      <patternFill patternType="solid">
        <fgColor rgb="FFFCE4D6"/>
        <bgColor rgb="FFFFF2CC"/>
      </patternFill>
    </fill>
    <fill>
      <patternFill patternType="solid">
        <fgColor rgb="FFF7CDCD"/>
        <bgColor rgb="FFFFCC99"/>
      </patternFill>
    </fill>
    <fill>
      <patternFill patternType="solid">
        <fgColor rgb="FFE2EFDA"/>
        <bgColor rgb="FFDEEBF7"/>
      </patternFill>
    </fill>
    <fill>
      <patternFill patternType="solid">
        <fgColor rgb="FF161616"/>
        <bgColor rgb="FF000000"/>
      </patternFill>
    </fill>
    <fill>
      <patternFill patternType="solid">
        <fgColor rgb="FFB4C6E7"/>
        <bgColor rgb="FF9DC3E6"/>
      </patternFill>
    </fill>
    <fill>
      <patternFill patternType="solid">
        <fgColor rgb="FFF4B084"/>
        <bgColor rgb="FFF7ADAD"/>
      </patternFill>
    </fill>
    <fill>
      <patternFill patternType="solid">
        <fgColor rgb="FFF7ADAD"/>
        <bgColor rgb="FFF4B084"/>
      </patternFill>
    </fill>
    <fill>
      <patternFill patternType="solid">
        <fgColor rgb="FFA9D08E"/>
        <bgColor rgb="FFC5E0B4"/>
      </patternFill>
    </fill>
    <fill>
      <patternFill patternType="solid">
        <fgColor rgb="FFFFE699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CC99"/>
        <bgColor rgb="FFF7CDCD"/>
      </patternFill>
    </fill>
    <fill>
      <patternFill patternType="solid">
        <fgColor rgb="FFC5E0B4"/>
        <bgColor rgb="FFC6E0B4"/>
      </patternFill>
    </fill>
    <fill>
      <patternFill patternType="solid">
        <fgColor rgb="FFDEEBF7"/>
        <bgColor rgb="FFDAE3F3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2CC"/>
      </patternFill>
    </fill>
    <fill>
      <patternFill patternType="solid">
        <fgColor rgb="FFCC99FF"/>
        <bgColor rgb="FFBFBFBF"/>
      </patternFill>
    </fill>
    <fill>
      <patternFill patternType="solid">
        <fgColor rgb="FF00CCFF"/>
        <bgColor rgb="FF00B0F0"/>
      </patternFill>
    </fill>
    <fill>
      <patternFill patternType="solid">
        <fgColor rgb="FF00FF00"/>
        <bgColor rgb="FF339966"/>
      </patternFill>
    </fill>
    <fill>
      <patternFill patternType="solid">
        <fgColor rgb="FF8EA9DB"/>
        <bgColor rgb="FF8FAADC"/>
      </patternFill>
    </fill>
    <fill>
      <patternFill patternType="solid">
        <fgColor rgb="FFCCCCFF"/>
        <bgColor rgb="FFB4C6E7"/>
      </patternFill>
    </fill>
    <fill>
      <patternFill patternType="solid">
        <fgColor rgb="FFC0C0C0"/>
        <bgColor rgb="FFBFBFBF"/>
      </patternFill>
    </fill>
    <fill>
      <patternFill patternType="solid">
        <fgColor rgb="FF8FAADC"/>
        <bgColor rgb="FF8EA9DB"/>
      </patternFill>
    </fill>
    <fill>
      <patternFill patternType="solid">
        <fgColor rgb="FFF76304"/>
        <bgColor rgb="FFED7D31"/>
      </patternFill>
    </fill>
    <fill>
      <patternFill patternType="solid">
        <fgColor rgb="FFFFCC00"/>
        <bgColor rgb="FFFFFF00"/>
      </patternFill>
    </fill>
    <fill>
      <patternFill patternType="solid">
        <fgColor rgb="FFD9D9D9"/>
        <bgColor rgb="FFD6DCE4"/>
      </patternFill>
    </fill>
    <fill>
      <patternFill patternType="solid">
        <fgColor rgb="FFBFBFBF"/>
        <bgColor rgb="FFC0C0C0"/>
      </patternFill>
    </fill>
    <fill>
      <patternFill patternType="solid">
        <fgColor rgb="FF1B4E7E"/>
        <bgColor rgb="FF1F4E78"/>
      </patternFill>
    </fill>
    <fill>
      <patternFill patternType="solid">
        <fgColor rgb="FFD6DCE4"/>
        <bgColor rgb="FFD9D9D9"/>
      </patternFill>
    </fill>
    <fill>
      <patternFill patternType="solid">
        <fgColor rgb="FFD0CECE"/>
        <bgColor rgb="FFD9D9D9"/>
      </patternFill>
    </fill>
    <fill>
      <patternFill patternType="solid">
        <fgColor rgb="FFFFFF00"/>
        <bgColor rgb="FFFFCC00"/>
      </patternFill>
    </fill>
  </fills>
  <borders count="6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B4C6E7"/>
      </left>
      <right style="thin">
        <color rgb="FFB4C6E7"/>
      </right>
      <top style="thin">
        <color rgb="FFB4C6E7"/>
      </top>
      <bottom style="thin">
        <color rgb="FFB4C6E7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>
        <color rgb="FF9DC3E6"/>
      </top>
      <bottom style="thin">
        <color rgb="FF9DC3E6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ck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ck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ck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/>
      <top style="medium"/>
      <bottom style="medium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6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0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6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7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8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3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11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1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8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0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1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1" fillId="1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2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4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14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5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8" fontId="13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2" fillId="11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1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4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1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6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1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9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1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2" fillId="1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1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1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1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0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0" fontId="1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5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7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14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7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1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1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7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72" fontId="12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17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2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8" borderId="8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8" borderId="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8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19" borderId="1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19" borderId="1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19" borderId="1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19" borderId="1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18" borderId="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18" borderId="0" xfId="22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19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18" borderId="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28" fillId="1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8" fillId="1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8" fillId="19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9" fillId="1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9" fillId="1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9" fillId="19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8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18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29" fillId="19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9" fillId="19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9" fillId="19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18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18" borderId="2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18" borderId="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20" borderId="2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2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2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21" borderId="13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1" fillId="22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31" fillId="22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1" fillId="22" borderId="1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18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32" fillId="18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31" fillId="18" borderId="5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31" fillId="18" borderId="15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32" fillId="18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33" fillId="18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3" borderId="14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23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9" fillId="23" borderId="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9" fillId="23" borderId="1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6" fillId="18" borderId="1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8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8" borderId="1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1" fillId="24" borderId="14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6" fontId="31" fillId="24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1" fillId="24" borderId="1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9" fillId="23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1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1" fillId="18" borderId="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1" fillId="18" borderId="1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32" fillId="18" borderId="5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6" fontId="2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32" fillId="18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18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2" fillId="18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18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0" fillId="0" borderId="1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4" fontId="20" fillId="0" borderId="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20" fillId="0" borderId="1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23" borderId="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23" borderId="1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0" borderId="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0" borderId="1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32" fillId="18" borderId="5" xfId="24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1" fillId="25" borderId="14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31" fillId="25" borderId="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6" fontId="31" fillId="25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1" fillId="25" borderId="1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2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9" fontId="32" fillId="18" borderId="5" xfId="2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1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9" fontId="32" fillId="18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25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18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18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17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32" fillId="17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31" fillId="17" borderId="5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6" fontId="31" fillId="17" borderId="15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6" fontId="26" fillId="0" borderId="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6" fillId="0" borderId="1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3" borderId="1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32" fillId="26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31" fillId="26" borderId="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1" fillId="26" borderId="1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18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26" fillId="18" borderId="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6" fillId="18" borderId="1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18" borderId="1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8" borderId="2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27" borderId="2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1" fillId="27" borderId="2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1" fillId="27" borderId="28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28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1" fillId="28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31" fillId="28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1" fillId="28" borderId="1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8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1" fillId="18" borderId="5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31" fillId="18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1" fillId="18" borderId="1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4" fillId="18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4" fillId="18" borderId="1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31" fillId="18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1" fillId="18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8" borderId="30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34" fillId="18" borderId="2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4" fillId="18" borderId="3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29" borderId="1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1" fillId="29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31" fillId="29" borderId="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31" fillId="29" borderId="1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1" fillId="30" borderId="3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1" fillId="30" borderId="2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31" fillId="30" borderId="27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31" fillId="30" borderId="28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31" fillId="30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31" fillId="30" borderId="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31" fillId="30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31" fillId="30" borderId="29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31" fillId="30" borderId="1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31" fillId="30" borderId="19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31" fillId="30" borderId="33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6" fillId="0" borderId="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3" borderId="3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8" borderId="3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27" borderId="10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1" fillId="27" borderId="1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1" fillId="27" borderId="1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1" fillId="30" borderId="3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31" fillId="30" borderId="3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2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18" borderId="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8" fillId="19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9" fillId="19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9" fillId="19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9" fillId="19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6" fillId="31" borderId="38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3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2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4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4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4" borderId="4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31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4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8" fillId="4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4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2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29" fillId="0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9" fillId="0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1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38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4" borderId="13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1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14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0" fillId="0" borderId="14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9" fillId="0" borderId="14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9" fillId="0" borderId="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2" fillId="4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9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1" fillId="0" borderId="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31" borderId="3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4" borderId="5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8" fillId="4" borderId="26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4" borderId="2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8" fillId="4" borderId="2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9" fillId="0" borderId="2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29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9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9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8" fillId="32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32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1" borderId="4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4" borderId="42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36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3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4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13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9" fillId="0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3" fillId="0" borderId="13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7" fillId="31" borderId="2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4" borderId="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3" fillId="0" borderId="2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3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3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2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4" borderId="4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3" fillId="0" borderId="3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3" fillId="0" borderId="1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3" fillId="0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4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18" borderId="4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18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4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0" fillId="3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9" fillId="3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5" borderId="5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1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2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18" borderId="4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18" borderId="4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1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18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4" fillId="18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45" fillId="3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1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5" borderId="5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14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0" fillId="15" borderId="5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1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7" fillId="18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0" fillId="1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1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1" fillId="18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2" fillId="1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7" fillId="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18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3" fillId="1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4" borderId="4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34" borderId="4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3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34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3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51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75" fontId="20" fillId="18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0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0" fillId="18" borderId="5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0" fillId="18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5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8" borderId="4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8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18" borderId="5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8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8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18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8" borderId="5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5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8" borderId="5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8" borderId="5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18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8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0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18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18" borderId="5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18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20" fillId="18" borderId="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18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9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8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18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18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18" borderId="5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18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8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20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0" fillId="18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1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5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20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8" borderId="5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8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0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20" fillId="18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34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20" fillId="3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34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34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1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0" fillId="18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20" fillId="18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9" fillId="18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9" fillId="18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18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0" fillId="18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0" fillId="18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8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1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9" fillId="18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4" fontId="9" fillId="18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8" borderId="3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18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8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8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8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8" borderId="5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8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18" borderId="5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4" fontId="20" fillId="18" borderId="5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18" borderId="5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18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18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4" fontId="9" fillId="18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8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0" fillId="18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0" fillId="18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20" fillId="18" borderId="5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20" fillId="18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18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8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18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18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8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18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18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18" borderId="2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18" borderId="2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8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18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18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18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18" borderId="3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18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8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18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6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6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18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18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8" borderId="4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18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18" borderId="5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0" fillId="18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20" fillId="1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0" fillId="18" borderId="5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8" borderId="6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8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18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0" fillId="18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3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3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" xfId="21"/>
    <cellStyle name="Normal 3" xfId="22"/>
    <cellStyle name="Porcentagem 2" xfId="23"/>
    <cellStyle name="Porcentagem 3" xfId="24"/>
    <cellStyle name="TableStyleLight1" xfId="25"/>
    <cellStyle name="Vírgula 2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711C9"/>
      <rgbColor rgb="FFB4C6E7"/>
      <rgbColor rgb="FFFCE4D6"/>
      <rgbColor rgb="FF385724"/>
      <rgbColor rgb="FF000080"/>
      <rgbColor rgb="FF548235"/>
      <rgbColor rgb="FFD9D9D9"/>
      <rgbColor rgb="FF1B4E7E"/>
      <rgbColor rgb="FFC0C0C0"/>
      <rgbColor rgb="FF808080"/>
      <rgbColor rgb="FF8EA9DB"/>
      <rgbColor rgb="FFC55A11"/>
      <rgbColor rgb="FFFFFFCC"/>
      <rgbColor rgb="FFDEEBF7"/>
      <rgbColor rgb="FFD9E1F2"/>
      <rgbColor rgb="FFED7D31"/>
      <rgbColor rgb="FF2E75B6"/>
      <rgbColor rgb="FFCCCCFF"/>
      <rgbColor rgb="FF000080"/>
      <rgbColor rgb="FFF7CDCD"/>
      <rgbColor rgb="FFFFF2CC"/>
      <rgbColor rgb="FFC5E0B4"/>
      <rgbColor rgb="FFD6DCE4"/>
      <rgbColor rgb="FF800000"/>
      <rgbColor rgb="FFC6E0B4"/>
      <rgbColor rgb="FF0000FF"/>
      <rgbColor rgb="FF00CCFF"/>
      <rgbColor rgb="FFDAE3F3"/>
      <rgbColor rgb="FFE2EFDA"/>
      <rgbColor rgb="FFFFE699"/>
      <rgbColor rgb="FF9DC3E6"/>
      <rgbColor rgb="FFF7ADAD"/>
      <rgbColor rgb="FFCC99FF"/>
      <rgbColor rgb="FFFFCC99"/>
      <rgbColor rgb="FF4472C4"/>
      <rgbColor rgb="FF00B0F0"/>
      <rgbColor rgb="FFA9D08E"/>
      <rgbColor rgb="FFFFCC00"/>
      <rgbColor rgb="FFF4B084"/>
      <rgbColor rgb="FFF76304"/>
      <rgbColor rgb="FFBFBFBF"/>
      <rgbColor rgb="FF8FAADC"/>
      <rgbColor rgb="FF203864"/>
      <rgbColor rgb="FF339966"/>
      <rgbColor rgb="FF161616"/>
      <rgbColor rgb="FF444444"/>
      <rgbColor rgb="FF843C0B"/>
      <rgbColor rgb="FFD0CECE"/>
      <rgbColor rgb="FF1F4E7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AMJ72"/>
  <sheetViews>
    <sheetView showFormulas="false" showGridLines="fals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pane xSplit="4" ySplit="3" topLeftCell="E29" activePane="bottomRight" state="frozen"/>
      <selection pane="topLeft" activeCell="A1" activeCellId="0" sqref="A1"/>
      <selection pane="topRight" activeCell="E1" activeCellId="0" sqref="E1"/>
      <selection pane="bottomLeft" activeCell="A29" activeCellId="0" sqref="A29"/>
      <selection pane="bottomRight" activeCell="L61" activeCellId="0" sqref="L61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36.85"/>
    <col collapsed="false" customWidth="true" hidden="false" outlineLevel="0" max="4" min="3" style="1" width="6.28"/>
    <col collapsed="false" customWidth="true" hidden="false" outlineLevel="0" max="5" min="5" style="1" width="7.71"/>
    <col collapsed="false" customWidth="true" hidden="false" outlineLevel="0" max="7" min="6" style="1" width="7.57"/>
    <col collapsed="false" customWidth="true" hidden="false" outlineLevel="0" max="10" min="8" style="1" width="7.42"/>
    <col collapsed="false" customWidth="true" hidden="false" outlineLevel="0" max="11" min="11" style="1" width="12.29"/>
    <col collapsed="false" customWidth="true" hidden="false" outlineLevel="0" max="12" min="12" style="1" width="10.58"/>
    <col collapsed="false" customWidth="true" hidden="false" outlineLevel="0" max="13" min="13" style="1" width="9.29"/>
    <col collapsed="false" customWidth="true" hidden="false" outlineLevel="0" max="14" min="14" style="1" width="9.71"/>
    <col collapsed="false" customWidth="true" hidden="false" outlineLevel="0" max="15" min="15" style="1" width="10.29"/>
    <col collapsed="false" customWidth="false" hidden="false" outlineLevel="0" max="17" min="16" style="1" width="9.14"/>
    <col collapsed="false" customWidth="true" hidden="false" outlineLevel="0" max="18" min="18" style="1" width="11.57"/>
    <col collapsed="false" customWidth="true" hidden="false" outlineLevel="0" max="19" min="19" style="1" width="1.85"/>
    <col collapsed="false" customWidth="true" hidden="false" outlineLevel="0" max="20" min="20" style="1" width="17"/>
    <col collapsed="false" customWidth="true" hidden="false" outlineLevel="0" max="21" min="21" style="1" width="20.29"/>
    <col collapsed="false" customWidth="true" hidden="false" outlineLevel="0" max="22" min="22" style="1" width="14.43"/>
    <col collapsed="false" customWidth="true" hidden="false" outlineLevel="0" max="24" min="23" style="1" width="13.7"/>
    <col collapsed="false" customWidth="true" hidden="false" outlineLevel="0" max="25" min="25" style="1" width="11.29"/>
    <col collapsed="false" customWidth="true" hidden="false" outlineLevel="0" max="26" min="26" style="1" width="12.86"/>
    <col collapsed="false" customWidth="true" hidden="false" outlineLevel="0" max="27" min="27" style="1" width="13.29"/>
    <col collapsed="false" customWidth="true" hidden="false" outlineLevel="0" max="28" min="28" style="1" width="13.14"/>
    <col collapsed="false" customWidth="false" hidden="false" outlineLevel="0" max="1017" min="29" style="1" width="9.14"/>
    <col collapsed="false" customWidth="true" hidden="false" outlineLevel="0" max="1024" min="1018" style="0" width="8.42"/>
  </cols>
  <sheetData>
    <row r="1" customFormat="false" ht="23.2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="9" customFormat="true" ht="15" hidden="false" customHeight="false" outlineLevel="0" collapsed="false">
      <c r="A2" s="3" t="s">
        <v>1</v>
      </c>
      <c r="B2" s="3"/>
      <c r="C2" s="3" t="s">
        <v>2</v>
      </c>
      <c r="D2" s="3"/>
      <c r="E2" s="4" t="s">
        <v>3</v>
      </c>
      <c r="F2" s="4"/>
      <c r="G2" s="4"/>
      <c r="H2" s="4"/>
      <c r="I2" s="4" t="s">
        <v>4</v>
      </c>
      <c r="J2" s="4"/>
      <c r="K2" s="4"/>
      <c r="L2" s="5" t="s">
        <v>5</v>
      </c>
      <c r="M2" s="5"/>
      <c r="N2" s="5"/>
      <c r="O2" s="5"/>
      <c r="P2" s="6" t="s">
        <v>6</v>
      </c>
      <c r="Q2" s="6"/>
      <c r="R2" s="6"/>
      <c r="S2" s="7"/>
      <c r="T2" s="8" t="s">
        <v>7</v>
      </c>
      <c r="U2" s="1"/>
      <c r="V2" s="1"/>
      <c r="W2" s="1"/>
      <c r="X2" s="1"/>
      <c r="Y2" s="1"/>
      <c r="Z2" s="1"/>
      <c r="AA2" s="1"/>
      <c r="AB2" s="1"/>
    </row>
    <row r="3" s="16" customFormat="true" ht="36.75" hidden="false" customHeight="true" outlineLevel="0" collapsed="false">
      <c r="A3" s="10" t="s">
        <v>8</v>
      </c>
      <c r="B3" s="10" t="s">
        <v>9</v>
      </c>
      <c r="C3" s="10"/>
      <c r="D3" s="10" t="s">
        <v>10</v>
      </c>
      <c r="E3" s="11" t="s">
        <v>11</v>
      </c>
      <c r="F3" s="11" t="s">
        <v>12</v>
      </c>
      <c r="G3" s="11" t="s">
        <v>13</v>
      </c>
      <c r="H3" s="11" t="s">
        <v>14</v>
      </c>
      <c r="I3" s="11" t="s">
        <v>15</v>
      </c>
      <c r="J3" s="11" t="s">
        <v>16</v>
      </c>
      <c r="K3" s="11" t="s">
        <v>17</v>
      </c>
      <c r="L3" s="12" t="s">
        <v>11</v>
      </c>
      <c r="M3" s="12" t="s">
        <v>12</v>
      </c>
      <c r="N3" s="12" t="s">
        <v>13</v>
      </c>
      <c r="O3" s="12" t="s">
        <v>14</v>
      </c>
      <c r="P3" s="13" t="s">
        <v>15</v>
      </c>
      <c r="Q3" s="13" t="s">
        <v>16</v>
      </c>
      <c r="R3" s="13" t="s">
        <v>17</v>
      </c>
      <c r="S3" s="14" t="s">
        <v>18</v>
      </c>
      <c r="T3" s="15" t="s">
        <v>19</v>
      </c>
      <c r="U3" s="1"/>
      <c r="V3" s="1"/>
      <c r="W3" s="1"/>
      <c r="X3" s="1"/>
      <c r="Y3" s="1"/>
      <c r="Z3" s="1"/>
      <c r="AA3" s="1"/>
      <c r="AB3" s="1"/>
    </row>
    <row r="4" customFormat="false" ht="15" hidden="false" customHeight="false" outlineLevel="0" collapsed="false">
      <c r="A4" s="17" t="n">
        <v>1</v>
      </c>
      <c r="B4" s="18" t="s">
        <v>20</v>
      </c>
      <c r="C4" s="19" t="n">
        <v>0.02</v>
      </c>
      <c r="D4" s="20" t="s">
        <v>21</v>
      </c>
      <c r="E4" s="21" t="n">
        <v>0</v>
      </c>
      <c r="F4" s="21" t="n">
        <v>0</v>
      </c>
      <c r="G4" s="21" t="n">
        <v>1</v>
      </c>
      <c r="H4" s="21" t="n">
        <v>0</v>
      </c>
      <c r="I4" s="21" t="n">
        <v>8</v>
      </c>
      <c r="J4" s="21" t="n">
        <v>4</v>
      </c>
      <c r="K4" s="21" t="n">
        <v>1</v>
      </c>
      <c r="L4" s="22" t="n">
        <f aca="false">E4*' RS2-a'!C$137</f>
        <v>0</v>
      </c>
      <c r="M4" s="22" t="n">
        <f aca="false">F4*' RS2-a'!D$137</f>
        <v>0</v>
      </c>
      <c r="N4" s="22" t="n">
        <f aca="false">G4*' RS2-a'!E$137</f>
        <v>11966.2117599264</v>
      </c>
      <c r="O4" s="22" t="n">
        <f aca="false">H4*' RS2-a'!F$137</f>
        <v>0</v>
      </c>
      <c r="P4" s="23" t="n">
        <f aca="false">I4*' RS2-a'!D$143</f>
        <v>220.662584097471</v>
      </c>
      <c r="Q4" s="23" t="n">
        <f aca="false">J4*' RS2-a'!F$143</f>
        <v>124.681613163514</v>
      </c>
      <c r="R4" s="23" t="n">
        <f aca="false">MC!B26*K4</f>
        <v>226.89</v>
      </c>
      <c r="S4" s="24"/>
      <c r="T4" s="25" t="n">
        <f aca="false">SUM(L4:R4)</f>
        <v>12538.4459571874</v>
      </c>
      <c r="U4" s="26"/>
      <c r="V4" s="26"/>
    </row>
    <row r="5" customFormat="false" ht="15" hidden="false" customHeight="false" outlineLevel="0" collapsed="false">
      <c r="A5" s="27" t="n">
        <v>2</v>
      </c>
      <c r="B5" s="28" t="s">
        <v>22</v>
      </c>
      <c r="C5" s="29" t="n">
        <v>0.03</v>
      </c>
      <c r="D5" s="30" t="s">
        <v>21</v>
      </c>
      <c r="E5" s="31" t="n">
        <v>1</v>
      </c>
      <c r="F5" s="31" t="n">
        <v>1</v>
      </c>
      <c r="G5" s="31" t="n">
        <v>0</v>
      </c>
      <c r="H5" s="31" t="n">
        <v>0</v>
      </c>
      <c r="I5" s="31" t="n">
        <v>8</v>
      </c>
      <c r="J5" s="31" t="n">
        <v>4</v>
      </c>
      <c r="K5" s="31" t="n">
        <v>1</v>
      </c>
      <c r="L5" s="22" t="n">
        <f aca="false">E5*' RS2-a'!C$139</f>
        <v>4487.5020029003</v>
      </c>
      <c r="M5" s="22" t="n">
        <f aca="false">F5*' RS2-a'!D$139</f>
        <v>6133.22610887948</v>
      </c>
      <c r="N5" s="22" t="n">
        <f aca="false">G5*' RS2-a'!E$139</f>
        <v>0</v>
      </c>
      <c r="O5" s="22" t="n">
        <f aca="false">H5*' RS2-a'!F$139</f>
        <v>0</v>
      </c>
      <c r="P5" s="23" t="n">
        <f aca="false">I5*' RS2-a'!D$145</f>
        <v>223.026403959254</v>
      </c>
      <c r="Q5" s="23" t="n">
        <f aca="false">J5*' RS2-a'!F$145</f>
        <v>126.017249083851</v>
      </c>
      <c r="R5" s="23" t="n">
        <f aca="false">MC!$B$26*K5</f>
        <v>226.89</v>
      </c>
      <c r="S5" s="24"/>
      <c r="T5" s="25" t="n">
        <f aca="false">SUM(L5:R5)</f>
        <v>11196.6617648229</v>
      </c>
      <c r="U5" s="26"/>
      <c r="V5" s="26"/>
    </row>
    <row r="6" customFormat="false" ht="15.75" hidden="false" customHeight="true" outlineLevel="0" collapsed="false">
      <c r="A6" s="27" t="n">
        <v>3</v>
      </c>
      <c r="B6" s="28" t="s">
        <v>23</v>
      </c>
      <c r="C6" s="29" t="n">
        <v>0.02</v>
      </c>
      <c r="D6" s="30" t="s">
        <v>21</v>
      </c>
      <c r="E6" s="31" t="n">
        <v>0</v>
      </c>
      <c r="F6" s="31" t="n">
        <v>1</v>
      </c>
      <c r="G6" s="31" t="n">
        <v>0</v>
      </c>
      <c r="H6" s="31" t="n">
        <v>0</v>
      </c>
      <c r="I6" s="31" t="n">
        <v>8</v>
      </c>
      <c r="J6" s="31" t="n">
        <v>4</v>
      </c>
      <c r="K6" s="31" t="n">
        <v>1</v>
      </c>
      <c r="L6" s="22" t="n">
        <f aca="false">E6*' RS2-a'!C$137</f>
        <v>0</v>
      </c>
      <c r="M6" s="22" t="n">
        <f aca="false">F6*' RS2-a'!D$137</f>
        <v>6068.22106268044</v>
      </c>
      <c r="N6" s="22" t="n">
        <f aca="false">G6*' RS2-a'!E$137</f>
        <v>0</v>
      </c>
      <c r="O6" s="22" t="n">
        <f aca="false">H6*' RS2-a'!F$137</f>
        <v>0</v>
      </c>
      <c r="P6" s="23" t="n">
        <f aca="false">I6*' RS2-a'!D$143</f>
        <v>220.662584097471</v>
      </c>
      <c r="Q6" s="23" t="n">
        <f aca="false">J6*' RS2-a'!F$143</f>
        <v>124.681613163514</v>
      </c>
      <c r="R6" s="23" t="n">
        <f aca="false">MC!$B$26*K6</f>
        <v>226.89</v>
      </c>
      <c r="S6" s="24"/>
      <c r="T6" s="25" t="n">
        <f aca="false">SUM(L6:R6)</f>
        <v>6640.45525994143</v>
      </c>
      <c r="U6" s="26"/>
      <c r="V6" s="26"/>
    </row>
    <row r="7" customFormat="false" ht="15" hidden="false" customHeight="false" outlineLevel="0" collapsed="false">
      <c r="A7" s="27" t="n">
        <v>4</v>
      </c>
      <c r="B7" s="28" t="s">
        <v>24</v>
      </c>
      <c r="C7" s="29" t="n">
        <v>0.03</v>
      </c>
      <c r="D7" s="32" t="s">
        <v>25</v>
      </c>
      <c r="E7" s="31" t="n">
        <v>1</v>
      </c>
      <c r="F7" s="31" t="n">
        <v>1</v>
      </c>
      <c r="G7" s="31" t="n">
        <v>0</v>
      </c>
      <c r="H7" s="31" t="n">
        <v>0</v>
      </c>
      <c r="I7" s="31" t="n">
        <v>8</v>
      </c>
      <c r="J7" s="31" t="n">
        <v>4</v>
      </c>
      <c r="K7" s="31" t="n">
        <v>1</v>
      </c>
      <c r="L7" s="33" t="n">
        <f aca="false">E7*'RS2-d'!C$112</f>
        <v>4570.45386663892</v>
      </c>
      <c r="M7" s="33" t="n">
        <f aca="false">F7*'RS2-d'!D$112</f>
        <v>6216.1779726181</v>
      </c>
      <c r="N7" s="33" t="n">
        <f aca="false">G7*'RS2-d'!E$112</f>
        <v>0</v>
      </c>
      <c r="O7" s="33" t="n">
        <f aca="false">H7*'RS2-d'!F$112</f>
        <v>0</v>
      </c>
      <c r="P7" s="34" t="n">
        <f aca="false">I7*'RS2-d'!D113</f>
        <v>226.042835367931</v>
      </c>
      <c r="Q7" s="34" t="n">
        <f aca="false">J7*'RS2-d'!F113</f>
        <v>126.764585720711</v>
      </c>
      <c r="R7" s="34" t="n">
        <f aca="false">MC!$B$26*K7</f>
        <v>226.89</v>
      </c>
      <c r="S7" s="24"/>
      <c r="T7" s="25" t="n">
        <f aca="false">SUM(L7:R7)</f>
        <v>11366.3292603457</v>
      </c>
    </row>
    <row r="8" customFormat="false" ht="15" hidden="false" customHeight="false" outlineLevel="0" collapsed="false">
      <c r="A8" s="27" t="n">
        <v>5</v>
      </c>
      <c r="B8" s="28" t="s">
        <v>26</v>
      </c>
      <c r="C8" s="29" t="n">
        <v>0.03</v>
      </c>
      <c r="D8" s="30" t="s">
        <v>21</v>
      </c>
      <c r="E8" s="31" t="n">
        <v>1</v>
      </c>
      <c r="F8" s="31" t="n">
        <v>1</v>
      </c>
      <c r="G8" s="31" t="n">
        <v>0</v>
      </c>
      <c r="H8" s="31" t="n">
        <v>0</v>
      </c>
      <c r="I8" s="31" t="n">
        <v>8</v>
      </c>
      <c r="J8" s="31" t="n">
        <v>4</v>
      </c>
      <c r="K8" s="31" t="n">
        <v>1</v>
      </c>
      <c r="L8" s="22" t="n">
        <f aca="false">E8*' RS2-a'!C$139</f>
        <v>4487.5020029003</v>
      </c>
      <c r="M8" s="22" t="n">
        <f aca="false">F8*' RS2-a'!D$139</f>
        <v>6133.22610887948</v>
      </c>
      <c r="N8" s="22" t="n">
        <f aca="false">G8*' RS2-a'!E$139</f>
        <v>0</v>
      </c>
      <c r="O8" s="22" t="n">
        <f aca="false">H8*' RS2-a'!F$139</f>
        <v>0</v>
      </c>
      <c r="P8" s="23" t="n">
        <f aca="false">I8*' RS2-a'!D$145</f>
        <v>223.026403959254</v>
      </c>
      <c r="Q8" s="23" t="n">
        <f aca="false">J8*' RS2-a'!F$145</f>
        <v>126.017249083851</v>
      </c>
      <c r="R8" s="23" t="n">
        <f aca="false">MC!$B$26*K8</f>
        <v>226.89</v>
      </c>
      <c r="S8" s="24"/>
      <c r="T8" s="25" t="n">
        <f aca="false">SUM(L8:R8)</f>
        <v>11196.6617648229</v>
      </c>
    </row>
    <row r="9" customFormat="false" ht="15" hidden="false" customHeight="false" outlineLevel="0" collapsed="false">
      <c r="A9" s="27" t="n">
        <v>6</v>
      </c>
      <c r="B9" s="28" t="s">
        <v>27</v>
      </c>
      <c r="C9" s="29" t="n">
        <v>0.03</v>
      </c>
      <c r="D9" s="32" t="s">
        <v>25</v>
      </c>
      <c r="E9" s="31" t="n">
        <v>1</v>
      </c>
      <c r="F9" s="31" t="n">
        <v>1</v>
      </c>
      <c r="G9" s="31" t="n">
        <v>0</v>
      </c>
      <c r="H9" s="31" t="n">
        <v>0</v>
      </c>
      <c r="I9" s="31" t="n">
        <v>8</v>
      </c>
      <c r="J9" s="31" t="n">
        <v>4</v>
      </c>
      <c r="K9" s="31" t="n">
        <v>1</v>
      </c>
      <c r="L9" s="33" t="n">
        <f aca="false">E9*'RS2-d'!C$112</f>
        <v>4570.45386663892</v>
      </c>
      <c r="M9" s="33" t="n">
        <f aca="false">F9*'RS2-d'!D$112</f>
        <v>6216.1779726181</v>
      </c>
      <c r="N9" s="33" t="n">
        <f aca="false">G9*'RS2-d'!E$112</f>
        <v>0</v>
      </c>
      <c r="O9" s="33" t="n">
        <f aca="false">H9*'RS2-d'!F$112</f>
        <v>0</v>
      </c>
      <c r="P9" s="34" t="n">
        <f aca="false">I9*'RS2-d'!D113</f>
        <v>226.042835367931</v>
      </c>
      <c r="Q9" s="34" t="n">
        <f aca="false">J9*'RS2-d'!F113</f>
        <v>126.764585720711</v>
      </c>
      <c r="R9" s="34" t="n">
        <f aca="false">MC!$B$26*K9</f>
        <v>226.89</v>
      </c>
      <c r="S9" s="24"/>
      <c r="T9" s="25" t="n">
        <f aca="false">SUM(L9:R9)</f>
        <v>11366.3292603457</v>
      </c>
      <c r="U9" s="35"/>
      <c r="V9" s="35"/>
      <c r="W9" s="35"/>
      <c r="X9" s="35"/>
      <c r="Y9" s="35"/>
      <c r="Z9" s="35"/>
      <c r="AA9" s="35"/>
      <c r="AB9" s="35"/>
    </row>
    <row r="10" customFormat="false" ht="15" hidden="false" customHeight="false" outlineLevel="0" collapsed="false">
      <c r="A10" s="27" t="n">
        <v>7</v>
      </c>
      <c r="B10" s="28" t="s">
        <v>28</v>
      </c>
      <c r="C10" s="29" t="n">
        <v>0.03</v>
      </c>
      <c r="D10" s="30" t="s">
        <v>21</v>
      </c>
      <c r="E10" s="31" t="n">
        <v>1</v>
      </c>
      <c r="F10" s="31" t="n">
        <v>1</v>
      </c>
      <c r="G10" s="31" t="n">
        <v>0</v>
      </c>
      <c r="H10" s="31" t="n">
        <v>0</v>
      </c>
      <c r="I10" s="31" t="n">
        <v>8</v>
      </c>
      <c r="J10" s="31" t="n">
        <v>4</v>
      </c>
      <c r="K10" s="31" t="n">
        <v>1</v>
      </c>
      <c r="L10" s="22" t="n">
        <f aca="false">E10*' RS2-a'!C$139</f>
        <v>4487.5020029003</v>
      </c>
      <c r="M10" s="22" t="n">
        <f aca="false">F10*' RS2-a'!D$139</f>
        <v>6133.22610887948</v>
      </c>
      <c r="N10" s="22" t="n">
        <f aca="false">G10*' RS2-a'!E$139</f>
        <v>0</v>
      </c>
      <c r="O10" s="22" t="n">
        <f aca="false">H10*' RS2-a'!F$139</f>
        <v>0</v>
      </c>
      <c r="P10" s="23" t="n">
        <f aca="false">I10*' RS2-a'!D$145</f>
        <v>223.026403959254</v>
      </c>
      <c r="Q10" s="23" t="n">
        <f aca="false">J10*' RS2-a'!F$145</f>
        <v>126.017249083851</v>
      </c>
      <c r="R10" s="23" t="n">
        <f aca="false">MC!$B$26*K10</f>
        <v>226.89</v>
      </c>
      <c r="S10" s="24"/>
      <c r="T10" s="25" t="n">
        <f aca="false">SUM(L10:R10)</f>
        <v>11196.6617648229</v>
      </c>
    </row>
    <row r="11" customFormat="false" ht="15" hidden="false" customHeight="false" outlineLevel="0" collapsed="false">
      <c r="A11" s="27" t="n">
        <v>8</v>
      </c>
      <c r="B11" s="28" t="s">
        <v>29</v>
      </c>
      <c r="C11" s="29" t="n">
        <v>0.03</v>
      </c>
      <c r="D11" s="30" t="s">
        <v>21</v>
      </c>
      <c r="E11" s="31" t="n">
        <v>0</v>
      </c>
      <c r="F11" s="31" t="n">
        <v>1</v>
      </c>
      <c r="G11" s="31" t="n">
        <v>0</v>
      </c>
      <c r="H11" s="31" t="n">
        <v>0</v>
      </c>
      <c r="I11" s="31" t="n">
        <v>8</v>
      </c>
      <c r="J11" s="31" t="n">
        <v>4</v>
      </c>
      <c r="K11" s="31" t="n">
        <v>1</v>
      </c>
      <c r="L11" s="22" t="n">
        <f aca="false">E11*' RS2-a'!C$139</f>
        <v>0</v>
      </c>
      <c r="M11" s="22" t="n">
        <f aca="false">F11*' RS2-a'!D$139</f>
        <v>6133.22610887948</v>
      </c>
      <c r="N11" s="22" t="n">
        <f aca="false">G11*' RS2-a'!E$139</f>
        <v>0</v>
      </c>
      <c r="O11" s="22" t="n">
        <f aca="false">H11*' RS2-a'!F$139</f>
        <v>0</v>
      </c>
      <c r="P11" s="23" t="n">
        <f aca="false">I11*' RS2-a'!D$145</f>
        <v>223.026403959254</v>
      </c>
      <c r="Q11" s="23" t="n">
        <f aca="false">J11*' RS2-a'!F$145</f>
        <v>126.017249083851</v>
      </c>
      <c r="R11" s="23" t="n">
        <f aca="false">MC!$B$26*K11</f>
        <v>226.89</v>
      </c>
      <c r="S11" s="24"/>
      <c r="T11" s="25" t="n">
        <f aca="false">SUM(L11:R11)</f>
        <v>6709.15976192259</v>
      </c>
    </row>
    <row r="12" customFormat="false" ht="15" hidden="false" customHeight="false" outlineLevel="0" collapsed="false">
      <c r="A12" s="27" t="n">
        <v>9</v>
      </c>
      <c r="B12" s="28" t="s">
        <v>30</v>
      </c>
      <c r="C12" s="29" t="n">
        <v>0.02</v>
      </c>
      <c r="D12" s="30" t="s">
        <v>21</v>
      </c>
      <c r="E12" s="31" t="n">
        <v>0</v>
      </c>
      <c r="F12" s="31" t="n">
        <v>1</v>
      </c>
      <c r="G12" s="31" t="n">
        <v>0</v>
      </c>
      <c r="H12" s="31" t="n">
        <v>0</v>
      </c>
      <c r="I12" s="31" t="n">
        <v>8</v>
      </c>
      <c r="J12" s="31" t="n">
        <v>4</v>
      </c>
      <c r="K12" s="31" t="n">
        <v>1</v>
      </c>
      <c r="L12" s="22" t="n">
        <f aca="false">E12*' RS2-a'!C$137</f>
        <v>0</v>
      </c>
      <c r="M12" s="22" t="n">
        <f aca="false">F12*' RS2-a'!D$137</f>
        <v>6068.22106268044</v>
      </c>
      <c r="N12" s="22" t="n">
        <f aca="false">G12*' RS2-a'!E$137</f>
        <v>0</v>
      </c>
      <c r="O12" s="22" t="n">
        <f aca="false">H12*' RS2-a'!F$137</f>
        <v>0</v>
      </c>
      <c r="P12" s="23" t="n">
        <f aca="false">I12*' RS2-a'!D$143</f>
        <v>220.662584097471</v>
      </c>
      <c r="Q12" s="23" t="n">
        <f aca="false">J12*' RS2-a'!F$143</f>
        <v>124.681613163514</v>
      </c>
      <c r="R12" s="23" t="n">
        <f aca="false">MC!$B$26*K12</f>
        <v>226.89</v>
      </c>
      <c r="S12" s="24"/>
      <c r="T12" s="25" t="n">
        <f aca="false">SUM(L12:R12)</f>
        <v>6640.45525994143</v>
      </c>
      <c r="U12" s="26"/>
      <c r="V12" s="26"/>
    </row>
    <row r="13" customFormat="false" ht="15" hidden="false" customHeight="false" outlineLevel="0" collapsed="false">
      <c r="A13" s="27" t="n">
        <v>10</v>
      </c>
      <c r="B13" s="28" t="s">
        <v>31</v>
      </c>
      <c r="C13" s="29" t="n">
        <v>0.02</v>
      </c>
      <c r="D13" s="30" t="s">
        <v>21</v>
      </c>
      <c r="E13" s="31" t="n">
        <v>5</v>
      </c>
      <c r="F13" s="31" t="n">
        <v>0</v>
      </c>
      <c r="G13" s="31" t="n">
        <v>0</v>
      </c>
      <c r="H13" s="31" t="n">
        <v>0</v>
      </c>
      <c r="I13" s="31" t="n">
        <v>8</v>
      </c>
      <c r="J13" s="31" t="n">
        <v>4</v>
      </c>
      <c r="K13" s="31" t="n">
        <v>1</v>
      </c>
      <c r="L13" s="22" t="n">
        <f aca="false">E13*' RS2-a'!C$137</f>
        <v>22199.6985676069</v>
      </c>
      <c r="M13" s="22" t="n">
        <f aca="false">F13*' RS2-a'!D$137</f>
        <v>0</v>
      </c>
      <c r="N13" s="22" t="n">
        <f aca="false">G13*' RS2-a'!E$137</f>
        <v>0</v>
      </c>
      <c r="O13" s="22" t="n">
        <f aca="false">H13*' RS2-a'!F$137</f>
        <v>0</v>
      </c>
      <c r="P13" s="23" t="n">
        <f aca="false">I13*' RS2-a'!D$143</f>
        <v>220.662584097471</v>
      </c>
      <c r="Q13" s="23" t="n">
        <f aca="false">J13*' RS2-a'!F$143</f>
        <v>124.681613163514</v>
      </c>
      <c r="R13" s="23" t="n">
        <f aca="false">MC!$B$26*K13</f>
        <v>226.89</v>
      </c>
      <c r="S13" s="24"/>
      <c r="T13" s="25" t="n">
        <f aca="false">SUM(L13:R13)</f>
        <v>22771.9327648679</v>
      </c>
      <c r="U13" s="36"/>
      <c r="V13" s="36"/>
    </row>
    <row r="14" customFormat="false" ht="15" hidden="false" customHeight="false" outlineLevel="0" collapsed="false">
      <c r="A14" s="27" t="n">
        <v>11</v>
      </c>
      <c r="B14" s="28" t="s">
        <v>32</v>
      </c>
      <c r="C14" s="29" t="n">
        <v>0.04</v>
      </c>
      <c r="D14" s="30" t="s">
        <v>21</v>
      </c>
      <c r="E14" s="31" t="n">
        <v>0</v>
      </c>
      <c r="F14" s="31" t="n">
        <v>1</v>
      </c>
      <c r="G14" s="31" t="n">
        <v>0</v>
      </c>
      <c r="H14" s="31" t="n">
        <v>0</v>
      </c>
      <c r="I14" s="31" t="n">
        <v>8</v>
      </c>
      <c r="J14" s="31" t="n">
        <v>4</v>
      </c>
      <c r="K14" s="31" t="n">
        <v>1</v>
      </c>
      <c r="L14" s="22" t="n">
        <f aca="false">E14*' RS2-a'!C$141</f>
        <v>0</v>
      </c>
      <c r="M14" s="22" t="n">
        <f aca="false">F14*' RS2-a'!D$141</f>
        <v>6199.63895250568</v>
      </c>
      <c r="N14" s="22" t="n">
        <f aca="false">G14*' RS2-a'!E$141</f>
        <v>0</v>
      </c>
      <c r="O14" s="22" t="n">
        <f aca="false">H14*' RS2-a'!F$141</f>
        <v>0</v>
      </c>
      <c r="P14" s="23" t="n">
        <f aca="false">I14*' RS2-a'!D$147</f>
        <v>225.441416454752</v>
      </c>
      <c r="Q14" s="23" t="n">
        <f aca="false">J14*' RS2-a'!F$147</f>
        <v>127.381810524933</v>
      </c>
      <c r="R14" s="23" t="n">
        <f aca="false">MC!$B$26*K14</f>
        <v>226.89</v>
      </c>
      <c r="S14" s="24"/>
      <c r="T14" s="25" t="n">
        <f aca="false">SUM(L14:R14)</f>
        <v>6779.35217948536</v>
      </c>
    </row>
    <row r="15" customFormat="false" ht="15" hidden="false" customHeight="false" outlineLevel="0" collapsed="false">
      <c r="A15" s="27" t="n">
        <v>12</v>
      </c>
      <c r="B15" s="28" t="s">
        <v>33</v>
      </c>
      <c r="C15" s="29" t="n">
        <v>0.025</v>
      </c>
      <c r="D15" s="30" t="s">
        <v>21</v>
      </c>
      <c r="E15" s="31" t="n">
        <v>0</v>
      </c>
      <c r="F15" s="31" t="n">
        <v>1</v>
      </c>
      <c r="G15" s="31" t="n">
        <v>0</v>
      </c>
      <c r="H15" s="31" t="n">
        <v>0</v>
      </c>
      <c r="I15" s="31" t="n">
        <v>8</v>
      </c>
      <c r="J15" s="31" t="n">
        <v>4</v>
      </c>
      <c r="K15" s="31" t="n">
        <v>1</v>
      </c>
      <c r="L15" s="22" t="n">
        <f aca="false">E15*' RS2-a'!C$138</f>
        <v>0</v>
      </c>
      <c r="M15" s="22" t="n">
        <f aca="false">F15*' RS2-a'!D$138</f>
        <v>6100.55042369632</v>
      </c>
      <c r="N15" s="22" t="n">
        <f aca="false">G15*' RS2-a'!E$138</f>
        <v>0</v>
      </c>
      <c r="O15" s="22" t="n">
        <f aca="false">H15*' RS2-a'!F$138</f>
        <v>0</v>
      </c>
      <c r="P15" s="23" t="n">
        <f aca="false">I15*' RS2-a'!D$144</f>
        <v>221.838197225321</v>
      </c>
      <c r="Q15" s="23" t="n">
        <f aca="false">J15*' RS2-a'!F$144</f>
        <v>125.345873222989</v>
      </c>
      <c r="R15" s="23" t="n">
        <f aca="false">MC!$B$26*K15</f>
        <v>226.89</v>
      </c>
      <c r="S15" s="24"/>
      <c r="T15" s="25" t="n">
        <f aca="false">SUM(L15:R15)</f>
        <v>6674.62449414463</v>
      </c>
    </row>
    <row r="16" customFormat="false" ht="15" hidden="false" customHeight="false" outlineLevel="0" collapsed="false">
      <c r="A16" s="27" t="n">
        <v>13</v>
      </c>
      <c r="B16" s="28" t="s">
        <v>34</v>
      </c>
      <c r="C16" s="29" t="n">
        <v>0.03</v>
      </c>
      <c r="D16" s="30" t="s">
        <v>21</v>
      </c>
      <c r="E16" s="31" t="n">
        <v>1</v>
      </c>
      <c r="F16" s="31" t="n">
        <v>1</v>
      </c>
      <c r="G16" s="31" t="n">
        <v>0</v>
      </c>
      <c r="H16" s="31" t="n">
        <v>0</v>
      </c>
      <c r="I16" s="31" t="n">
        <v>8</v>
      </c>
      <c r="J16" s="31" t="n">
        <v>4</v>
      </c>
      <c r="K16" s="31" t="n">
        <v>1</v>
      </c>
      <c r="L16" s="22" t="n">
        <f aca="false">E16*' RS2-a'!C139</f>
        <v>4487.5020029003</v>
      </c>
      <c r="M16" s="22" t="n">
        <f aca="false">F16*' RS2-a'!D139</f>
        <v>6133.22610887948</v>
      </c>
      <c r="N16" s="22" t="n">
        <f aca="false">G16*' RS2-a'!E139</f>
        <v>0</v>
      </c>
      <c r="O16" s="22" t="n">
        <f aca="false">H16*' RS2-a'!F139</f>
        <v>0</v>
      </c>
      <c r="P16" s="23" t="n">
        <f aca="false">I16*' RS2-a'!D$145</f>
        <v>223.026403959254</v>
      </c>
      <c r="Q16" s="23" t="n">
        <f aca="false">J16*' RS2-a'!F$145</f>
        <v>126.017249083851</v>
      </c>
      <c r="R16" s="23" t="n">
        <f aca="false">MC!$B$26*K16</f>
        <v>226.89</v>
      </c>
      <c r="S16" s="24"/>
      <c r="T16" s="25" t="n">
        <f aca="false">SUM(L16:R16)</f>
        <v>11196.6617648229</v>
      </c>
    </row>
    <row r="17" customFormat="false" ht="15" hidden="false" customHeight="false" outlineLevel="0" collapsed="false">
      <c r="A17" s="17" t="n">
        <v>14</v>
      </c>
      <c r="B17" s="18" t="s">
        <v>35</v>
      </c>
      <c r="C17" s="19" t="n">
        <v>0.02</v>
      </c>
      <c r="D17" s="37" t="s">
        <v>21</v>
      </c>
      <c r="E17" s="21" t="n">
        <v>0</v>
      </c>
      <c r="F17" s="21" t="n">
        <v>0</v>
      </c>
      <c r="G17" s="21" t="n">
        <v>1</v>
      </c>
      <c r="H17" s="21" t="n">
        <v>1</v>
      </c>
      <c r="I17" s="21" t="n">
        <v>8</v>
      </c>
      <c r="J17" s="21" t="n">
        <v>4</v>
      </c>
      <c r="K17" s="21" t="n">
        <v>1</v>
      </c>
      <c r="L17" s="38" t="n">
        <f aca="false">E17*' RS2-a'!C$137</f>
        <v>0</v>
      </c>
      <c r="M17" s="38" t="n">
        <f aca="false">F17*' RS2-a'!D$137</f>
        <v>0</v>
      </c>
      <c r="N17" s="38" t="n">
        <f aca="false">G17*' RS2-a'!E$137</f>
        <v>11966.2117599264</v>
      </c>
      <c r="O17" s="38" t="n">
        <f aca="false">H17*' RS2-a'!F$137</f>
        <v>13714.9774479865</v>
      </c>
      <c r="P17" s="23" t="n">
        <f aca="false">I17*' RS2-a'!D$143</f>
        <v>220.662584097471</v>
      </c>
      <c r="Q17" s="23" t="n">
        <f aca="false">J17*' RS2-a'!F$143</f>
        <v>124.681613163514</v>
      </c>
      <c r="R17" s="23" t="n">
        <f aca="false">MC!$B$26*K17</f>
        <v>226.89</v>
      </c>
      <c r="S17" s="24"/>
      <c r="T17" s="25" t="n">
        <f aca="false">SUM(L17:R17)</f>
        <v>26253.4234051739</v>
      </c>
    </row>
    <row r="18" customFormat="false" ht="15" hidden="false" customHeight="false" outlineLevel="0" collapsed="false">
      <c r="A18" s="27" t="n">
        <v>15</v>
      </c>
      <c r="B18" s="28" t="s">
        <v>36</v>
      </c>
      <c r="C18" s="29" t="n">
        <v>0.05</v>
      </c>
      <c r="D18" s="30" t="s">
        <v>21</v>
      </c>
      <c r="E18" s="31" t="n">
        <v>1</v>
      </c>
      <c r="F18" s="31" t="n">
        <v>1</v>
      </c>
      <c r="G18" s="31" t="n">
        <v>0</v>
      </c>
      <c r="H18" s="31" t="n">
        <v>0</v>
      </c>
      <c r="I18" s="31" t="n">
        <v>8</v>
      </c>
      <c r="J18" s="31" t="n">
        <v>4</v>
      </c>
      <c r="K18" s="31" t="n">
        <v>1</v>
      </c>
      <c r="L18" s="22" t="n">
        <f aca="false">E18*' RS2-a'!C$142</f>
        <v>4585.75054155165</v>
      </c>
      <c r="M18" s="22" t="n">
        <f aca="false">F18*' RS2-a'!D$142</f>
        <v>6267.50582664367</v>
      </c>
      <c r="N18" s="22" t="n">
        <f aca="false">G18*' RS2-a'!E$142</f>
        <v>0</v>
      </c>
      <c r="O18" s="22" t="n">
        <f aca="false">H18*' RS2-a'!F$142</f>
        <v>0</v>
      </c>
      <c r="P18" s="23" t="n">
        <f aca="false">I18*' RS2-a'!D$148</f>
        <v>227.909302787043</v>
      </c>
      <c r="Q18" s="23" t="n">
        <f aca="false">J18*' RS2-a'!F$148</f>
        <v>128.776247421757</v>
      </c>
      <c r="R18" s="23" t="n">
        <f aca="false">MC!$B$26*K18</f>
        <v>226.89</v>
      </c>
      <c r="S18" s="24"/>
      <c r="T18" s="25" t="n">
        <f aca="false">SUM(L18:R18)</f>
        <v>11436.8319184041</v>
      </c>
      <c r="W18" s="39"/>
      <c r="X18" s="39"/>
    </row>
    <row r="19" customFormat="false" ht="15" hidden="false" customHeight="false" outlineLevel="0" collapsed="false">
      <c r="A19" s="27" t="n">
        <v>16</v>
      </c>
      <c r="B19" s="28" t="s">
        <v>37</v>
      </c>
      <c r="C19" s="29" t="n">
        <v>0.03</v>
      </c>
      <c r="D19" s="30" t="s">
        <v>21</v>
      </c>
      <c r="E19" s="31" t="n">
        <v>1</v>
      </c>
      <c r="F19" s="31" t="n">
        <v>1</v>
      </c>
      <c r="G19" s="31" t="n">
        <v>0</v>
      </c>
      <c r="H19" s="31" t="n">
        <v>0</v>
      </c>
      <c r="I19" s="31" t="n">
        <v>8</v>
      </c>
      <c r="J19" s="31" t="n">
        <v>4</v>
      </c>
      <c r="K19" s="31" t="n">
        <v>1</v>
      </c>
      <c r="L19" s="22" t="n">
        <f aca="false">E19*' RS2-a'!C$139</f>
        <v>4487.5020029003</v>
      </c>
      <c r="M19" s="22" t="n">
        <f aca="false">F19*' RS2-a'!D$139</f>
        <v>6133.22610887948</v>
      </c>
      <c r="N19" s="22" t="n">
        <f aca="false">G19*' RS2-a'!E$139</f>
        <v>0</v>
      </c>
      <c r="O19" s="22" t="n">
        <f aca="false">H19*' RS2-a'!F$139</f>
        <v>0</v>
      </c>
      <c r="P19" s="23" t="n">
        <f aca="false">I19*' RS2-a'!D$145</f>
        <v>223.026403959254</v>
      </c>
      <c r="Q19" s="23" t="n">
        <f aca="false">J19*' RS2-a'!F$145</f>
        <v>126.017249083851</v>
      </c>
      <c r="R19" s="23" t="n">
        <f aca="false">MC!$B$26*K19</f>
        <v>226.89</v>
      </c>
      <c r="S19" s="24"/>
      <c r="T19" s="25" t="n">
        <f aca="false">SUM(L19:R19)</f>
        <v>11196.6617648229</v>
      </c>
    </row>
    <row r="20" customFormat="false" ht="15" hidden="false" customHeight="false" outlineLevel="0" collapsed="false">
      <c r="A20" s="27" t="n">
        <v>17</v>
      </c>
      <c r="B20" s="28" t="s">
        <v>38</v>
      </c>
      <c r="C20" s="29" t="n">
        <v>0.03</v>
      </c>
      <c r="D20" s="30" t="s">
        <v>21</v>
      </c>
      <c r="E20" s="31" t="n">
        <v>1</v>
      </c>
      <c r="F20" s="31" t="n">
        <v>1</v>
      </c>
      <c r="G20" s="31" t="n">
        <v>0</v>
      </c>
      <c r="H20" s="31" t="n">
        <v>0</v>
      </c>
      <c r="I20" s="31" t="n">
        <v>8</v>
      </c>
      <c r="J20" s="31" t="n">
        <v>4</v>
      </c>
      <c r="K20" s="31" t="n">
        <v>1</v>
      </c>
      <c r="L20" s="22" t="n">
        <f aca="false">E20*' RS2-a'!C$139</f>
        <v>4487.5020029003</v>
      </c>
      <c r="M20" s="22" t="n">
        <f aca="false">F20*' RS2-a'!D$139</f>
        <v>6133.22610887948</v>
      </c>
      <c r="N20" s="22" t="n">
        <f aca="false">G20*' RS2-a'!E$139</f>
        <v>0</v>
      </c>
      <c r="O20" s="22" t="n">
        <f aca="false">H20*' RS2-a'!F$139</f>
        <v>0</v>
      </c>
      <c r="P20" s="23" t="n">
        <f aca="false">I20*' RS2-a'!D$145</f>
        <v>223.026403959254</v>
      </c>
      <c r="Q20" s="23" t="n">
        <f aca="false">J20*' RS2-a'!F$145</f>
        <v>126.017249083851</v>
      </c>
      <c r="R20" s="23" t="n">
        <f aca="false">MC!$B$26*K20</f>
        <v>226.89</v>
      </c>
      <c r="S20" s="24"/>
      <c r="T20" s="25" t="n">
        <f aca="false">SUM(L20:R20)</f>
        <v>11196.6617648229</v>
      </c>
    </row>
    <row r="21" customFormat="false" ht="15" hidden="false" customHeight="false" outlineLevel="0" collapsed="false">
      <c r="A21" s="27" t="n">
        <v>18</v>
      </c>
      <c r="B21" s="28" t="s">
        <v>39</v>
      </c>
      <c r="C21" s="29" t="n">
        <v>0.02</v>
      </c>
      <c r="D21" s="30" t="s">
        <v>21</v>
      </c>
      <c r="E21" s="31" t="n">
        <v>2</v>
      </c>
      <c r="F21" s="31" t="n">
        <v>0</v>
      </c>
      <c r="G21" s="31" t="n">
        <v>0</v>
      </c>
      <c r="H21" s="31" t="n">
        <v>0</v>
      </c>
      <c r="I21" s="31" t="n">
        <v>8</v>
      </c>
      <c r="J21" s="31" t="n">
        <v>4</v>
      </c>
      <c r="K21" s="31" t="n">
        <v>1</v>
      </c>
      <c r="L21" s="22" t="n">
        <f aca="false">E21*' RS2-a'!C$137</f>
        <v>8879.87942704278</v>
      </c>
      <c r="M21" s="22" t="n">
        <f aca="false">F21*' RS2-a'!D$137</f>
        <v>0</v>
      </c>
      <c r="N21" s="22" t="n">
        <f aca="false">G21*' RS2-a'!E$137</f>
        <v>0</v>
      </c>
      <c r="O21" s="22" t="n">
        <f aca="false">H21*' RS2-a'!F$137</f>
        <v>0</v>
      </c>
      <c r="P21" s="23" t="n">
        <f aca="false">I21*' RS2-a'!D$143</f>
        <v>220.662584097471</v>
      </c>
      <c r="Q21" s="23" t="n">
        <f aca="false">J21*' RS2-a'!F$143</f>
        <v>124.681613163514</v>
      </c>
      <c r="R21" s="23" t="n">
        <f aca="false">MC!$B$26*K21</f>
        <v>226.89</v>
      </c>
      <c r="S21" s="24"/>
      <c r="T21" s="25" t="n">
        <f aca="false">SUM(L21:R21)</f>
        <v>9452.11362430376</v>
      </c>
    </row>
    <row r="22" customFormat="false" ht="15" hidden="false" customHeight="false" outlineLevel="0" collapsed="false">
      <c r="A22" s="27" t="n">
        <v>19</v>
      </c>
      <c r="B22" s="28" t="s">
        <v>40</v>
      </c>
      <c r="C22" s="29" t="n">
        <v>0.03</v>
      </c>
      <c r="D22" s="30" t="s">
        <v>21</v>
      </c>
      <c r="E22" s="31" t="n">
        <v>0</v>
      </c>
      <c r="F22" s="31" t="n">
        <v>1</v>
      </c>
      <c r="G22" s="31" t="n">
        <v>0</v>
      </c>
      <c r="H22" s="31" t="n">
        <v>0</v>
      </c>
      <c r="I22" s="31" t="n">
        <v>8</v>
      </c>
      <c r="J22" s="31" t="n">
        <v>4</v>
      </c>
      <c r="K22" s="31" t="n">
        <v>1</v>
      </c>
      <c r="L22" s="22" t="n">
        <f aca="false">E22*' RS2-a'!C$139</f>
        <v>0</v>
      </c>
      <c r="M22" s="22" t="n">
        <f aca="false">F22*' RS2-a'!D$139</f>
        <v>6133.22610887948</v>
      </c>
      <c r="N22" s="22" t="n">
        <f aca="false">G22*' RS2-a'!E$139</f>
        <v>0</v>
      </c>
      <c r="O22" s="22" t="n">
        <f aca="false">H22*' RS2-a'!F$139</f>
        <v>0</v>
      </c>
      <c r="P22" s="23" t="n">
        <f aca="false">I22*' RS2-a'!D$145</f>
        <v>223.026403959254</v>
      </c>
      <c r="Q22" s="23" t="n">
        <f aca="false">J22*' RS2-a'!F$145</f>
        <v>126.017249083851</v>
      </c>
      <c r="R22" s="23" t="n">
        <f aca="false">MC!$B$26*K22</f>
        <v>226.89</v>
      </c>
      <c r="S22" s="24"/>
      <c r="T22" s="25" t="n">
        <f aca="false">SUM(L22:R22)</f>
        <v>6709.15976192259</v>
      </c>
    </row>
    <row r="23" customFormat="false" ht="15" hidden="false" customHeight="false" outlineLevel="0" collapsed="false">
      <c r="A23" s="27" t="n">
        <v>20</v>
      </c>
      <c r="B23" s="28" t="s">
        <v>41</v>
      </c>
      <c r="C23" s="29" t="n">
        <v>0.03</v>
      </c>
      <c r="D23" s="30" t="s">
        <v>21</v>
      </c>
      <c r="E23" s="31" t="n">
        <v>0</v>
      </c>
      <c r="F23" s="31" t="n">
        <v>1</v>
      </c>
      <c r="G23" s="31" t="n">
        <v>0</v>
      </c>
      <c r="H23" s="31" t="n">
        <v>0</v>
      </c>
      <c r="I23" s="31" t="n">
        <v>8</v>
      </c>
      <c r="J23" s="31" t="n">
        <v>4</v>
      </c>
      <c r="K23" s="31" t="n">
        <v>1</v>
      </c>
      <c r="L23" s="22" t="n">
        <f aca="false">E23*' RS2-a'!C$139</f>
        <v>0</v>
      </c>
      <c r="M23" s="22" t="n">
        <f aca="false">F23*' RS2-a'!D$139</f>
        <v>6133.22610887948</v>
      </c>
      <c r="N23" s="22" t="n">
        <f aca="false">G23*' RS2-a'!E$139</f>
        <v>0</v>
      </c>
      <c r="O23" s="22" t="n">
        <f aca="false">H23*' RS2-a'!F$139</f>
        <v>0</v>
      </c>
      <c r="P23" s="23" t="n">
        <f aca="false">I23*' RS2-a'!D$145</f>
        <v>223.026403959254</v>
      </c>
      <c r="Q23" s="23" t="n">
        <f aca="false">J23*' RS2-a'!F$145</f>
        <v>126.017249083851</v>
      </c>
      <c r="R23" s="23" t="n">
        <f aca="false">MC!$B$26*K23</f>
        <v>226.89</v>
      </c>
      <c r="S23" s="24"/>
      <c r="T23" s="25" t="n">
        <f aca="false">SUM(L23:R23)</f>
        <v>6709.15976192259</v>
      </c>
    </row>
    <row r="24" customFormat="false" ht="15" hidden="false" customHeight="false" outlineLevel="0" collapsed="false">
      <c r="A24" s="27" t="n">
        <v>21</v>
      </c>
      <c r="B24" s="28" t="s">
        <v>42</v>
      </c>
      <c r="C24" s="29" t="n">
        <v>0.02</v>
      </c>
      <c r="D24" s="30" t="s">
        <v>21</v>
      </c>
      <c r="E24" s="31" t="n">
        <v>1</v>
      </c>
      <c r="F24" s="31" t="n">
        <v>1</v>
      </c>
      <c r="G24" s="31" t="n">
        <v>0</v>
      </c>
      <c r="H24" s="31" t="n">
        <v>0</v>
      </c>
      <c r="I24" s="31" t="n">
        <v>8</v>
      </c>
      <c r="J24" s="31" t="n">
        <v>4</v>
      </c>
      <c r="K24" s="31" t="n">
        <v>1</v>
      </c>
      <c r="L24" s="22" t="n">
        <f aca="false">E24*' RS2-a'!C$137</f>
        <v>4439.93971352139</v>
      </c>
      <c r="M24" s="22" t="n">
        <f aca="false">F24*' RS2-a'!D$137</f>
        <v>6068.22106268044</v>
      </c>
      <c r="N24" s="22" t="n">
        <f aca="false">G24*' RS2-a'!E$137</f>
        <v>0</v>
      </c>
      <c r="O24" s="22" t="n">
        <f aca="false">H24*' RS2-a'!F$137</f>
        <v>0</v>
      </c>
      <c r="P24" s="23" t="n">
        <f aca="false">I24*' RS2-a'!D$143</f>
        <v>220.662584097471</v>
      </c>
      <c r="Q24" s="23" t="n">
        <f aca="false">J24*' RS2-a'!F$143</f>
        <v>124.681613163514</v>
      </c>
      <c r="R24" s="23" t="n">
        <f aca="false">MC!$B$26*K24</f>
        <v>226.89</v>
      </c>
      <c r="S24" s="24"/>
      <c r="T24" s="25" t="n">
        <f aca="false">SUM(L24:R24)</f>
        <v>11080.3949734628</v>
      </c>
    </row>
    <row r="25" customFormat="false" ht="15" hidden="false" customHeight="false" outlineLevel="0" collapsed="false">
      <c r="A25" s="27" t="n">
        <v>22</v>
      </c>
      <c r="B25" s="28" t="s">
        <v>43</v>
      </c>
      <c r="C25" s="29" t="n">
        <v>0.03</v>
      </c>
      <c r="D25" s="30" t="s">
        <v>21</v>
      </c>
      <c r="E25" s="31" t="n">
        <v>1</v>
      </c>
      <c r="F25" s="31" t="n">
        <v>1</v>
      </c>
      <c r="G25" s="31" t="n">
        <v>0</v>
      </c>
      <c r="H25" s="31" t="n">
        <v>0</v>
      </c>
      <c r="I25" s="31" t="n">
        <v>8</v>
      </c>
      <c r="J25" s="31" t="n">
        <v>4</v>
      </c>
      <c r="K25" s="31" t="n">
        <v>1</v>
      </c>
      <c r="L25" s="22" t="n">
        <f aca="false">E25*' RS2-a'!C$139</f>
        <v>4487.5020029003</v>
      </c>
      <c r="M25" s="22" t="n">
        <f aca="false">F25*' RS2-a'!D$139</f>
        <v>6133.22610887948</v>
      </c>
      <c r="N25" s="22" t="n">
        <f aca="false">G25*' RS2-a'!E$139</f>
        <v>0</v>
      </c>
      <c r="O25" s="22" t="n">
        <f aca="false">H25*' RS2-a'!F$139</f>
        <v>0</v>
      </c>
      <c r="P25" s="23" t="n">
        <f aca="false">I25*' RS2-a'!D$145</f>
        <v>223.026403959254</v>
      </c>
      <c r="Q25" s="23" t="n">
        <f aca="false">J25*' RS2-a'!F$145</f>
        <v>126.017249083851</v>
      </c>
      <c r="R25" s="23" t="n">
        <f aca="false">MC!$B$26*K25</f>
        <v>226.89</v>
      </c>
      <c r="S25" s="24"/>
      <c r="T25" s="25" t="n">
        <f aca="false">SUM(L25:R25)</f>
        <v>11196.6617648229</v>
      </c>
    </row>
    <row r="26" customFormat="false" ht="15" hidden="false" customHeight="false" outlineLevel="0" collapsed="false">
      <c r="A26" s="27" t="n">
        <v>23</v>
      </c>
      <c r="B26" s="28" t="s">
        <v>44</v>
      </c>
      <c r="C26" s="29" t="n">
        <v>0.02</v>
      </c>
      <c r="D26" s="30" t="s">
        <v>21</v>
      </c>
      <c r="E26" s="31" t="n">
        <v>1</v>
      </c>
      <c r="F26" s="31" t="n">
        <v>1</v>
      </c>
      <c r="G26" s="31" t="n">
        <v>0</v>
      </c>
      <c r="H26" s="31" t="n">
        <v>0</v>
      </c>
      <c r="I26" s="31" t="n">
        <v>8</v>
      </c>
      <c r="J26" s="31" t="n">
        <v>4</v>
      </c>
      <c r="K26" s="31" t="n">
        <v>1</v>
      </c>
      <c r="L26" s="22" t="n">
        <f aca="false">E26*' RS2-a'!C$137</f>
        <v>4439.93971352139</v>
      </c>
      <c r="M26" s="22" t="n">
        <f aca="false">F26*' RS2-a'!D$137</f>
        <v>6068.22106268044</v>
      </c>
      <c r="N26" s="22" t="n">
        <f aca="false">G26*' RS2-a'!E$137</f>
        <v>0</v>
      </c>
      <c r="O26" s="22" t="n">
        <f aca="false">H26*' RS2-a'!F$137</f>
        <v>0</v>
      </c>
      <c r="P26" s="23" t="n">
        <f aca="false">I26*' RS2-a'!D$143</f>
        <v>220.662584097471</v>
      </c>
      <c r="Q26" s="23" t="n">
        <f aca="false">J26*' RS2-a'!F$143</f>
        <v>124.681613163514</v>
      </c>
      <c r="R26" s="23" t="n">
        <f aca="false">MC!$B$26*K26</f>
        <v>226.89</v>
      </c>
      <c r="S26" s="24"/>
      <c r="T26" s="25" t="n">
        <f aca="false">SUM(L26:R26)</f>
        <v>11080.3949734628</v>
      </c>
    </row>
    <row r="27" customFormat="false" ht="15" hidden="false" customHeight="false" outlineLevel="0" collapsed="false">
      <c r="A27" s="27" t="n">
        <v>24</v>
      </c>
      <c r="B27" s="28" t="s">
        <v>45</v>
      </c>
      <c r="C27" s="29" t="n">
        <v>0.03</v>
      </c>
      <c r="D27" s="30" t="s">
        <v>21</v>
      </c>
      <c r="E27" s="31" t="n">
        <v>0</v>
      </c>
      <c r="F27" s="31" t="n">
        <v>1</v>
      </c>
      <c r="G27" s="31" t="n">
        <v>0</v>
      </c>
      <c r="H27" s="31" t="n">
        <v>0</v>
      </c>
      <c r="I27" s="31" t="n">
        <v>8</v>
      </c>
      <c r="J27" s="31" t="n">
        <v>4</v>
      </c>
      <c r="K27" s="31" t="n">
        <v>1</v>
      </c>
      <c r="L27" s="22" t="n">
        <f aca="false">E27*' RS2-a'!C$139</f>
        <v>0</v>
      </c>
      <c r="M27" s="22" t="n">
        <f aca="false">F27*' RS2-a'!D$139</f>
        <v>6133.22610887948</v>
      </c>
      <c r="N27" s="22" t="n">
        <f aca="false">G27*' RS2-a'!E$139</f>
        <v>0</v>
      </c>
      <c r="O27" s="22" t="n">
        <f aca="false">H27*' RS2-a'!F$139</f>
        <v>0</v>
      </c>
      <c r="P27" s="23" t="n">
        <f aca="false">I27*' RS2-a'!D$145</f>
        <v>223.026403959254</v>
      </c>
      <c r="Q27" s="23" t="n">
        <f aca="false">J27*' RS2-a'!F$145</f>
        <v>126.017249083851</v>
      </c>
      <c r="R27" s="23" t="n">
        <f aca="false">MC!$B$26*K27</f>
        <v>226.89</v>
      </c>
      <c r="S27" s="24"/>
      <c r="T27" s="25" t="n">
        <f aca="false">SUM(L27:R27)</f>
        <v>6709.15976192259</v>
      </c>
    </row>
    <row r="28" customFormat="false" ht="15" hidden="false" customHeight="false" outlineLevel="0" collapsed="false">
      <c r="A28" s="27" t="n">
        <v>25</v>
      </c>
      <c r="B28" s="28" t="s">
        <v>46</v>
      </c>
      <c r="C28" s="29" t="n">
        <v>0.03</v>
      </c>
      <c r="D28" s="40" t="s">
        <v>47</v>
      </c>
      <c r="E28" s="31" t="n">
        <v>0</v>
      </c>
      <c r="F28" s="31" t="n">
        <v>1</v>
      </c>
      <c r="G28" s="31" t="n">
        <v>1</v>
      </c>
      <c r="H28" s="31" t="n">
        <v>1</v>
      </c>
      <c r="I28" s="31" t="n">
        <v>8</v>
      </c>
      <c r="J28" s="31" t="n">
        <v>4</v>
      </c>
      <c r="K28" s="31" t="n">
        <v>1</v>
      </c>
      <c r="L28" s="33" t="n">
        <f aca="false">E28*'RS-b'!C$112</f>
        <v>0</v>
      </c>
      <c r="M28" s="33" t="n">
        <f aca="false">F28*'RS-b'!D$112</f>
        <v>6195.89954115586</v>
      </c>
      <c r="N28" s="33" t="n">
        <f aca="false">G28*'RS-b'!E$112</f>
        <v>12179.8599101238</v>
      </c>
      <c r="O28" s="33" t="n">
        <f aca="false">H28*'RS-b'!F$112</f>
        <v>13947.3590281578</v>
      </c>
      <c r="P28" s="34" t="n">
        <f aca="false">I28*'RS-b'!D113</f>
        <v>225.305437860213</v>
      </c>
      <c r="Q28" s="34" t="n">
        <f aca="false">J28*'RS-b'!F113</f>
        <v>126.794172983252</v>
      </c>
      <c r="R28" s="34" t="n">
        <f aca="false">MC!$B$26*K28</f>
        <v>226.89</v>
      </c>
      <c r="S28" s="24"/>
      <c r="T28" s="25" t="n">
        <f aca="false">SUM(L28:R28)</f>
        <v>32902.1080902808</v>
      </c>
    </row>
    <row r="29" customFormat="false" ht="15" hidden="false" customHeight="false" outlineLevel="0" collapsed="false">
      <c r="A29" s="27" t="n">
        <v>26</v>
      </c>
      <c r="B29" s="28" t="s">
        <v>48</v>
      </c>
      <c r="C29" s="29" t="n">
        <v>0.03</v>
      </c>
      <c r="D29" s="30" t="s">
        <v>21</v>
      </c>
      <c r="E29" s="31" t="n">
        <v>1</v>
      </c>
      <c r="F29" s="31" t="n">
        <v>1</v>
      </c>
      <c r="G29" s="31" t="n">
        <v>0</v>
      </c>
      <c r="H29" s="31" t="n">
        <v>0</v>
      </c>
      <c r="I29" s="31" t="n">
        <v>8</v>
      </c>
      <c r="J29" s="31" t="n">
        <v>4</v>
      </c>
      <c r="K29" s="31" t="n">
        <v>1</v>
      </c>
      <c r="L29" s="22" t="n">
        <f aca="false">E29*' RS2-a'!C$139</f>
        <v>4487.5020029003</v>
      </c>
      <c r="M29" s="22" t="n">
        <f aca="false">F29*' RS2-a'!D$139</f>
        <v>6133.22610887948</v>
      </c>
      <c r="N29" s="22" t="n">
        <f aca="false">G29*' RS2-a'!E$139</f>
        <v>0</v>
      </c>
      <c r="O29" s="22" t="n">
        <f aca="false">H29*' RS2-a'!F$139</f>
        <v>0</v>
      </c>
      <c r="P29" s="23" t="n">
        <f aca="false">I29*' RS2-a'!D$145</f>
        <v>223.026403959254</v>
      </c>
      <c r="Q29" s="23" t="n">
        <f aca="false">J29*' RS2-a'!F$145</f>
        <v>126.017249083851</v>
      </c>
      <c r="R29" s="23" t="n">
        <f aca="false">MC!$B$26*K29</f>
        <v>226.89</v>
      </c>
      <c r="S29" s="24"/>
      <c r="T29" s="25" t="n">
        <f aca="false">SUM(L29:R29)</f>
        <v>11196.6617648229</v>
      </c>
    </row>
    <row r="30" customFormat="false" ht="15" hidden="false" customHeight="false" outlineLevel="0" collapsed="false">
      <c r="A30" s="27" t="n">
        <v>27</v>
      </c>
      <c r="B30" s="28" t="s">
        <v>49</v>
      </c>
      <c r="C30" s="29" t="n">
        <v>0.03</v>
      </c>
      <c r="D30" s="30" t="s">
        <v>21</v>
      </c>
      <c r="E30" s="31" t="n">
        <v>1</v>
      </c>
      <c r="F30" s="31" t="n">
        <v>1</v>
      </c>
      <c r="G30" s="31" t="n">
        <v>0</v>
      </c>
      <c r="H30" s="31" t="n">
        <v>0</v>
      </c>
      <c r="I30" s="31" t="n">
        <v>8</v>
      </c>
      <c r="J30" s="31" t="n">
        <v>4</v>
      </c>
      <c r="K30" s="31" t="n">
        <v>1</v>
      </c>
      <c r="L30" s="22" t="n">
        <f aca="false">E30*' RS2-a'!C$139</f>
        <v>4487.5020029003</v>
      </c>
      <c r="M30" s="22" t="n">
        <f aca="false">F30*' RS2-a'!D$139</f>
        <v>6133.22610887948</v>
      </c>
      <c r="N30" s="22" t="n">
        <f aca="false">G30*' RS2-a'!E$139</f>
        <v>0</v>
      </c>
      <c r="O30" s="22" t="n">
        <f aca="false">H30*' RS2-a'!F$139</f>
        <v>0</v>
      </c>
      <c r="P30" s="23" t="n">
        <f aca="false">I30*' RS2-a'!D$145</f>
        <v>223.026403959254</v>
      </c>
      <c r="Q30" s="23" t="n">
        <f aca="false">J30*' RS2-a'!F$145</f>
        <v>126.017249083851</v>
      </c>
      <c r="R30" s="23" t="n">
        <f aca="false">MC!$B$26*K30</f>
        <v>226.89</v>
      </c>
      <c r="S30" s="24"/>
      <c r="T30" s="25" t="n">
        <f aca="false">SUM(L30:R30)</f>
        <v>11196.6617648229</v>
      </c>
    </row>
    <row r="31" customFormat="false" ht="15" hidden="false" customHeight="false" outlineLevel="0" collapsed="false">
      <c r="A31" s="27" t="n">
        <v>28</v>
      </c>
      <c r="B31" s="28" t="s">
        <v>50</v>
      </c>
      <c r="C31" s="29" t="n">
        <v>0.03</v>
      </c>
      <c r="D31" s="30" t="s">
        <v>21</v>
      </c>
      <c r="E31" s="31" t="n">
        <v>1</v>
      </c>
      <c r="F31" s="31" t="n">
        <v>1</v>
      </c>
      <c r="G31" s="31" t="n">
        <v>0</v>
      </c>
      <c r="H31" s="31" t="n">
        <v>0</v>
      </c>
      <c r="I31" s="31" t="n">
        <v>8</v>
      </c>
      <c r="J31" s="31" t="n">
        <v>4</v>
      </c>
      <c r="K31" s="31" t="n">
        <v>1</v>
      </c>
      <c r="L31" s="22" t="n">
        <f aca="false">E31*' RS2-a'!C$139</f>
        <v>4487.5020029003</v>
      </c>
      <c r="M31" s="22" t="n">
        <f aca="false">F31*' RS2-a'!D$139</f>
        <v>6133.22610887948</v>
      </c>
      <c r="N31" s="22" t="n">
        <f aca="false">G31*' RS2-a'!E$139</f>
        <v>0</v>
      </c>
      <c r="O31" s="22" t="n">
        <f aca="false">H31*' RS2-a'!F$139</f>
        <v>0</v>
      </c>
      <c r="P31" s="23" t="n">
        <f aca="false">I31*' RS2-a'!D$145</f>
        <v>223.026403959254</v>
      </c>
      <c r="Q31" s="23" t="n">
        <f aca="false">J31*' RS2-a'!F$145</f>
        <v>126.017249083851</v>
      </c>
      <c r="R31" s="23" t="n">
        <f aca="false">MC!$B$26*K31</f>
        <v>226.89</v>
      </c>
      <c r="S31" s="24"/>
      <c r="T31" s="25" t="n">
        <f aca="false">SUM(L31:R31)</f>
        <v>11196.6617648229</v>
      </c>
    </row>
    <row r="32" customFormat="false" ht="15" hidden="false" customHeight="false" outlineLevel="0" collapsed="false">
      <c r="A32" s="27" t="n">
        <v>29</v>
      </c>
      <c r="B32" s="28" t="s">
        <v>51</v>
      </c>
      <c r="C32" s="29" t="n">
        <v>0.03</v>
      </c>
      <c r="D32" s="30" t="s">
        <v>21</v>
      </c>
      <c r="E32" s="31" t="n">
        <v>1</v>
      </c>
      <c r="F32" s="31" t="n">
        <v>1</v>
      </c>
      <c r="G32" s="31" t="n">
        <v>0</v>
      </c>
      <c r="H32" s="31" t="n">
        <v>0</v>
      </c>
      <c r="I32" s="31" t="n">
        <v>8</v>
      </c>
      <c r="J32" s="31" t="n">
        <v>4</v>
      </c>
      <c r="K32" s="31" t="n">
        <v>1</v>
      </c>
      <c r="L32" s="22" t="n">
        <f aca="false">E32*' RS2-a'!C$139</f>
        <v>4487.5020029003</v>
      </c>
      <c r="M32" s="22" t="n">
        <f aca="false">F32*' RS2-a'!D$139</f>
        <v>6133.22610887948</v>
      </c>
      <c r="N32" s="22" t="n">
        <f aca="false">G32*' RS2-a'!E$139</f>
        <v>0</v>
      </c>
      <c r="O32" s="22" t="n">
        <f aca="false">H32*' RS2-a'!F$139</f>
        <v>0</v>
      </c>
      <c r="P32" s="23" t="n">
        <f aca="false">I32*' RS2-a'!D$145</f>
        <v>223.026403959254</v>
      </c>
      <c r="Q32" s="23" t="n">
        <f aca="false">J32*' RS2-a'!F$145</f>
        <v>126.017249083851</v>
      </c>
      <c r="R32" s="23" t="n">
        <f aca="false">MC!$B$26*K32</f>
        <v>226.89</v>
      </c>
      <c r="S32" s="24"/>
      <c r="T32" s="25" t="n">
        <f aca="false">SUM(L32:R32)</f>
        <v>11196.6617648229</v>
      </c>
    </row>
    <row r="33" customFormat="false" ht="15" hidden="false" customHeight="false" outlineLevel="0" collapsed="false">
      <c r="A33" s="17" t="n">
        <v>30</v>
      </c>
      <c r="B33" s="19" t="s">
        <v>52</v>
      </c>
      <c r="C33" s="19" t="n">
        <v>0.04</v>
      </c>
      <c r="D33" s="37" t="s">
        <v>21</v>
      </c>
      <c r="E33" s="21" t="n">
        <v>0</v>
      </c>
      <c r="F33" s="21" t="n">
        <v>0</v>
      </c>
      <c r="G33" s="21" t="n">
        <v>1</v>
      </c>
      <c r="H33" s="21" t="n">
        <v>0</v>
      </c>
      <c r="I33" s="21" t="n">
        <v>8</v>
      </c>
      <c r="J33" s="21" t="n">
        <v>4</v>
      </c>
      <c r="K33" s="21" t="n">
        <v>1</v>
      </c>
      <c r="L33" s="22" t="n">
        <f aca="false">E33*' RS2-a'!C$141</f>
        <v>0</v>
      </c>
      <c r="M33" s="22" t="n">
        <f aca="false">F33*' RS2-a'!D$141</f>
        <v>0</v>
      </c>
      <c r="N33" s="22" t="n">
        <f aca="false">G33*' RS2-a'!E$141</f>
        <v>12225.3609047001</v>
      </c>
      <c r="O33" s="22" t="n">
        <f aca="false">H33*' RS2-a'!F$141</f>
        <v>0</v>
      </c>
      <c r="P33" s="23" t="n">
        <f aca="false">I33*' RS2-a'!D$147</f>
        <v>225.441416454752</v>
      </c>
      <c r="Q33" s="23" t="n">
        <f aca="false">J33*' RS2-a'!F$147</f>
        <v>127.381810524933</v>
      </c>
      <c r="R33" s="23" t="n">
        <f aca="false">MC!$B$26*K33</f>
        <v>226.89</v>
      </c>
      <c r="S33" s="24"/>
      <c r="T33" s="25" t="n">
        <f aca="false">SUM(L33:R33)</f>
        <v>12805.0741316798</v>
      </c>
    </row>
    <row r="34" customFormat="false" ht="15" hidden="false" customHeight="false" outlineLevel="0" collapsed="false">
      <c r="A34" s="27" t="n">
        <v>31</v>
      </c>
      <c r="B34" s="28" t="s">
        <v>53</v>
      </c>
      <c r="C34" s="29" t="n">
        <v>0.035</v>
      </c>
      <c r="D34" s="41" t="s">
        <v>21</v>
      </c>
      <c r="E34" s="31" t="n">
        <v>0</v>
      </c>
      <c r="F34" s="31" t="n">
        <v>1</v>
      </c>
      <c r="G34" s="31" t="n">
        <v>0</v>
      </c>
      <c r="H34" s="31" t="n">
        <v>0</v>
      </c>
      <c r="I34" s="31" t="n">
        <v>8</v>
      </c>
      <c r="J34" s="31" t="n">
        <v>4</v>
      </c>
      <c r="K34" s="31" t="n">
        <v>1</v>
      </c>
      <c r="L34" s="22" t="n">
        <f aca="false">E34*' RS2-a'!C$140</f>
        <v>0</v>
      </c>
      <c r="M34" s="22" t="n">
        <f aca="false">F34*' RS2-a'!D$140</f>
        <v>6166.25371312762</v>
      </c>
      <c r="N34" s="22" t="n">
        <f aca="false">G34*' RS2-a'!E$140</f>
        <v>0</v>
      </c>
      <c r="O34" s="22" t="n">
        <f aca="false">H34*' RS2-a'!F$140</f>
        <v>0</v>
      </c>
      <c r="P34" s="23" t="n">
        <f aca="false">I34*' RS2-a'!D$146</f>
        <v>224.227407750095</v>
      </c>
      <c r="Q34" s="23" t="n">
        <f aca="false">J34*' RS2-a'!F$146</f>
        <v>126.695855702504</v>
      </c>
      <c r="R34" s="23" t="n">
        <f aca="false">MC!$B$26*K34</f>
        <v>226.89</v>
      </c>
      <c r="S34" s="24"/>
      <c r="T34" s="25" t="n">
        <f aca="false">SUM(L34:R34)</f>
        <v>6744.06697658022</v>
      </c>
    </row>
    <row r="35" customFormat="false" ht="15" hidden="false" customHeight="false" outlineLevel="0" collapsed="false">
      <c r="A35" s="27" t="n">
        <v>32</v>
      </c>
      <c r="B35" s="28" t="s">
        <v>54</v>
      </c>
      <c r="C35" s="29" t="n">
        <v>0.03</v>
      </c>
      <c r="D35" s="41" t="s">
        <v>21</v>
      </c>
      <c r="E35" s="31" t="n">
        <v>0</v>
      </c>
      <c r="F35" s="31" t="n">
        <v>1</v>
      </c>
      <c r="G35" s="31" t="n">
        <v>0</v>
      </c>
      <c r="H35" s="31" t="n">
        <v>0</v>
      </c>
      <c r="I35" s="31" t="n">
        <v>8</v>
      </c>
      <c r="J35" s="31" t="n">
        <v>4</v>
      </c>
      <c r="K35" s="31" t="n">
        <v>1</v>
      </c>
      <c r="L35" s="22" t="n">
        <f aca="false">E35*' RS2-a'!C$139</f>
        <v>0</v>
      </c>
      <c r="M35" s="22" t="n">
        <f aca="false">F35*' RS2-a'!D$139</f>
        <v>6133.22610887948</v>
      </c>
      <c r="N35" s="22" t="n">
        <f aca="false">G35*' RS2-a'!E$139</f>
        <v>0</v>
      </c>
      <c r="O35" s="22" t="n">
        <f aca="false">H35*' RS2-a'!F$139</f>
        <v>0</v>
      </c>
      <c r="P35" s="23" t="n">
        <f aca="false">I35*' RS2-a'!D$145</f>
        <v>223.026403959254</v>
      </c>
      <c r="Q35" s="23" t="n">
        <f aca="false">J35*' RS2-a'!F$145</f>
        <v>126.017249083851</v>
      </c>
      <c r="R35" s="23" t="n">
        <f aca="false">MC!$B$26*K35</f>
        <v>226.89</v>
      </c>
      <c r="S35" s="24"/>
      <c r="T35" s="25" t="n">
        <f aca="false">SUM(L35:R35)</f>
        <v>6709.15976192259</v>
      </c>
    </row>
    <row r="36" customFormat="false" ht="15" hidden="false" customHeight="false" outlineLevel="0" collapsed="false">
      <c r="A36" s="27" t="n">
        <v>33</v>
      </c>
      <c r="B36" s="28" t="s">
        <v>55</v>
      </c>
      <c r="C36" s="29" t="n">
        <v>0.03</v>
      </c>
      <c r="D36" s="41" t="s">
        <v>21</v>
      </c>
      <c r="E36" s="31" t="n">
        <v>1</v>
      </c>
      <c r="F36" s="31" t="n">
        <v>1</v>
      </c>
      <c r="G36" s="31" t="n">
        <v>0</v>
      </c>
      <c r="H36" s="31" t="n">
        <v>0</v>
      </c>
      <c r="I36" s="31" t="n">
        <v>8</v>
      </c>
      <c r="J36" s="31" t="n">
        <v>4</v>
      </c>
      <c r="K36" s="31" t="n">
        <v>1</v>
      </c>
      <c r="L36" s="22" t="n">
        <f aca="false">E36*' RS2-a'!C$139</f>
        <v>4487.5020029003</v>
      </c>
      <c r="M36" s="22" t="n">
        <f aca="false">F36*' RS2-a'!D$139</f>
        <v>6133.22610887948</v>
      </c>
      <c r="N36" s="22" t="n">
        <f aca="false">G36*' RS2-a'!E$139</f>
        <v>0</v>
      </c>
      <c r="O36" s="22" t="n">
        <f aca="false">H36*' RS2-a'!F$139</f>
        <v>0</v>
      </c>
      <c r="P36" s="23" t="n">
        <f aca="false">I36*' RS2-a'!D$145</f>
        <v>223.026403959254</v>
      </c>
      <c r="Q36" s="23" t="n">
        <f aca="false">J36*' RS2-a'!F$145</f>
        <v>126.017249083851</v>
      </c>
      <c r="R36" s="23" t="n">
        <f aca="false">MC!$B$26*K36</f>
        <v>226.89</v>
      </c>
      <c r="S36" s="24"/>
      <c r="T36" s="25" t="n">
        <f aca="false">SUM(L36:R36)</f>
        <v>11196.6617648229</v>
      </c>
    </row>
    <row r="37" customFormat="false" ht="15" hidden="false" customHeight="false" outlineLevel="0" collapsed="false">
      <c r="A37" s="27" t="n">
        <v>34</v>
      </c>
      <c r="B37" s="28" t="s">
        <v>56</v>
      </c>
      <c r="C37" s="29" t="n">
        <v>0.03</v>
      </c>
      <c r="D37" s="41" t="s">
        <v>21</v>
      </c>
      <c r="E37" s="31" t="n">
        <v>0</v>
      </c>
      <c r="F37" s="31" t="n">
        <v>1</v>
      </c>
      <c r="G37" s="31" t="n">
        <v>0</v>
      </c>
      <c r="H37" s="31" t="n">
        <v>0</v>
      </c>
      <c r="I37" s="31" t="n">
        <v>8</v>
      </c>
      <c r="J37" s="31" t="n">
        <v>4</v>
      </c>
      <c r="K37" s="31" t="n">
        <v>1</v>
      </c>
      <c r="L37" s="22" t="n">
        <f aca="false">E37*' RS2-a'!C$139</f>
        <v>0</v>
      </c>
      <c r="M37" s="22" t="n">
        <f aca="false">F37*' RS2-a'!D$139</f>
        <v>6133.22610887948</v>
      </c>
      <c r="N37" s="22" t="n">
        <f aca="false">G37*' RS2-a'!E$139</f>
        <v>0</v>
      </c>
      <c r="O37" s="22" t="n">
        <f aca="false">H37*' RS2-a'!F$139</f>
        <v>0</v>
      </c>
      <c r="P37" s="23" t="n">
        <f aca="false">I37*' RS2-a'!D$145</f>
        <v>223.026403959254</v>
      </c>
      <c r="Q37" s="23" t="n">
        <f aca="false">J37*' RS2-a'!F$145</f>
        <v>126.017249083851</v>
      </c>
      <c r="R37" s="23" t="n">
        <f aca="false">MC!$B$26*K37</f>
        <v>226.89</v>
      </c>
      <c r="S37" s="24"/>
      <c r="T37" s="25" t="n">
        <f aca="false">SUM(L37:R37)</f>
        <v>6709.15976192259</v>
      </c>
    </row>
    <row r="38" customFormat="false" ht="15" hidden="false" customHeight="false" outlineLevel="0" collapsed="false">
      <c r="A38" s="27" t="n">
        <v>35</v>
      </c>
      <c r="B38" s="28" t="s">
        <v>57</v>
      </c>
      <c r="C38" s="29" t="n">
        <v>0.03</v>
      </c>
      <c r="D38" s="41" t="s">
        <v>21</v>
      </c>
      <c r="E38" s="31" t="n">
        <v>0</v>
      </c>
      <c r="F38" s="31" t="n">
        <v>1</v>
      </c>
      <c r="G38" s="31" t="n">
        <v>0</v>
      </c>
      <c r="H38" s="31" t="n">
        <v>0</v>
      </c>
      <c r="I38" s="31" t="n">
        <v>8</v>
      </c>
      <c r="J38" s="31" t="n">
        <v>4</v>
      </c>
      <c r="K38" s="31" t="n">
        <v>1</v>
      </c>
      <c r="L38" s="22" t="n">
        <f aca="false">E38*' RS2-a'!C$139</f>
        <v>0</v>
      </c>
      <c r="M38" s="22" t="n">
        <f aca="false">F38*' RS2-a'!D$139</f>
        <v>6133.22610887948</v>
      </c>
      <c r="N38" s="22" t="n">
        <f aca="false">G38*' RS2-a'!E$139</f>
        <v>0</v>
      </c>
      <c r="O38" s="22" t="n">
        <f aca="false">H38*' RS2-a'!F$139</f>
        <v>0</v>
      </c>
      <c r="P38" s="23" t="n">
        <f aca="false">I38*' RS2-a'!D$145</f>
        <v>223.026403959254</v>
      </c>
      <c r="Q38" s="23" t="n">
        <f aca="false">J38*' RS2-a'!F$145</f>
        <v>126.017249083851</v>
      </c>
      <c r="R38" s="23" t="n">
        <f aca="false">MC!$B$26*K38</f>
        <v>226.89</v>
      </c>
      <c r="S38" s="24"/>
      <c r="T38" s="25" t="n">
        <f aca="false">SUM(L38:R38)</f>
        <v>6709.15976192259</v>
      </c>
    </row>
    <row r="39" customFormat="false" ht="15" hidden="false" customHeight="false" outlineLevel="0" collapsed="false">
      <c r="A39" s="27" t="n">
        <v>36</v>
      </c>
      <c r="B39" s="28" t="s">
        <v>58</v>
      </c>
      <c r="C39" s="29" t="n">
        <v>0.04</v>
      </c>
      <c r="D39" s="41" t="s">
        <v>21</v>
      </c>
      <c r="E39" s="31" t="n">
        <v>0</v>
      </c>
      <c r="F39" s="31" t="n">
        <v>0</v>
      </c>
      <c r="G39" s="31" t="n">
        <v>0</v>
      </c>
      <c r="H39" s="31" t="n">
        <v>0</v>
      </c>
      <c r="I39" s="31" t="n">
        <v>8</v>
      </c>
      <c r="J39" s="31" t="n">
        <v>4</v>
      </c>
      <c r="K39" s="31" t="n">
        <v>1</v>
      </c>
      <c r="L39" s="22" t="n">
        <f aca="false">E39*' RS2-a'!C$141</f>
        <v>0</v>
      </c>
      <c r="M39" s="22" t="n">
        <f aca="false">F39*' RS2-a'!D$141</f>
        <v>0</v>
      </c>
      <c r="N39" s="22" t="n">
        <f aca="false">G39*' RS2-a'!E$141</f>
        <v>0</v>
      </c>
      <c r="O39" s="22" t="n">
        <f aca="false">H39*' RS2-a'!F$141</f>
        <v>0</v>
      </c>
      <c r="P39" s="23" t="n">
        <f aca="false">I39*' RS2-a'!D$147</f>
        <v>225.441416454752</v>
      </c>
      <c r="Q39" s="23" t="n">
        <f aca="false">J39*' RS2-a'!F$147</f>
        <v>127.381810524933</v>
      </c>
      <c r="R39" s="23" t="n">
        <f aca="false">MC!$B$26*K39</f>
        <v>226.89</v>
      </c>
      <c r="S39" s="24"/>
      <c r="T39" s="25" t="n">
        <f aca="false">SUM(L39:R39)</f>
        <v>579.713226979685</v>
      </c>
    </row>
    <row r="40" customFormat="false" ht="15" hidden="false" customHeight="false" outlineLevel="0" collapsed="false">
      <c r="A40" s="27" t="n">
        <v>37</v>
      </c>
      <c r="B40" s="28" t="s">
        <v>59</v>
      </c>
      <c r="C40" s="29" t="n">
        <v>0.03</v>
      </c>
      <c r="D40" s="41" t="s">
        <v>21</v>
      </c>
      <c r="E40" s="31" t="n">
        <v>1</v>
      </c>
      <c r="F40" s="31" t="n">
        <v>1</v>
      </c>
      <c r="G40" s="31" t="n">
        <v>0</v>
      </c>
      <c r="H40" s="31" t="n">
        <v>0</v>
      </c>
      <c r="I40" s="31" t="n">
        <v>8</v>
      </c>
      <c r="J40" s="31" t="n">
        <v>4</v>
      </c>
      <c r="K40" s="31" t="n">
        <v>1</v>
      </c>
      <c r="L40" s="22" t="n">
        <f aca="false">E40*' RS2-a'!C$139</f>
        <v>4487.5020029003</v>
      </c>
      <c r="M40" s="22" t="n">
        <f aca="false">F40*' RS2-a'!D$139</f>
        <v>6133.22610887948</v>
      </c>
      <c r="N40" s="22" t="n">
        <f aca="false">G40*' RS2-a'!E$139</f>
        <v>0</v>
      </c>
      <c r="O40" s="22" t="n">
        <f aca="false">H40*' RS2-a'!F$139</f>
        <v>0</v>
      </c>
      <c r="P40" s="23" t="n">
        <f aca="false">I40*' RS2-a'!D$145</f>
        <v>223.026403959254</v>
      </c>
      <c r="Q40" s="23" t="n">
        <f aca="false">J40*' RS2-a'!F$145</f>
        <v>126.017249083851</v>
      </c>
      <c r="R40" s="23" t="n">
        <f aca="false">MC!$B$26*K40</f>
        <v>226.89</v>
      </c>
      <c r="S40" s="24"/>
      <c r="T40" s="25" t="n">
        <f aca="false">SUM(L40:R40)</f>
        <v>11196.6617648229</v>
      </c>
    </row>
    <row r="41" customFormat="false" ht="15" hidden="false" customHeight="false" outlineLevel="0" collapsed="false">
      <c r="A41" s="27" t="n">
        <v>38</v>
      </c>
      <c r="B41" s="28" t="s">
        <v>60</v>
      </c>
      <c r="C41" s="29" t="n">
        <v>0.025</v>
      </c>
      <c r="D41" s="42" t="s">
        <v>61</v>
      </c>
      <c r="E41" s="31" t="n">
        <v>1</v>
      </c>
      <c r="F41" s="31" t="n">
        <v>1</v>
      </c>
      <c r="G41" s="31" t="n">
        <v>0</v>
      </c>
      <c r="H41" s="31" t="n">
        <v>0</v>
      </c>
      <c r="I41" s="31" t="n">
        <v>8</v>
      </c>
      <c r="J41" s="31" t="n">
        <v>4</v>
      </c>
      <c r="K41" s="31" t="n">
        <v>1</v>
      </c>
      <c r="L41" s="33" t="n">
        <f aca="false">E41*'RS2-c'!C$112</f>
        <v>4510.46307974153</v>
      </c>
      <c r="M41" s="33" t="n">
        <f aca="false">F41*'RS2-c'!D$112</f>
        <v>6147.41934285455</v>
      </c>
      <c r="N41" s="33" t="n">
        <f aca="false">G41*'RS2-c'!E$112</f>
        <v>0</v>
      </c>
      <c r="O41" s="33" t="n">
        <f aca="false">H41*'RS2-c'!F$112</f>
        <v>0</v>
      </c>
      <c r="P41" s="34" t="n">
        <f aca="false">I41*'RS2-c'!D113</f>
        <v>223.542521558347</v>
      </c>
      <c r="Q41" s="34" t="n">
        <f aca="false">J41*'RS2-c'!F113</f>
        <v>129.568383984051</v>
      </c>
      <c r="R41" s="34" t="n">
        <f aca="false">MC!$B$26*K41</f>
        <v>226.89</v>
      </c>
      <c r="S41" s="24"/>
      <c r="T41" s="25" t="n">
        <f aca="false">SUM(L41:R41)</f>
        <v>11237.8833281385</v>
      </c>
    </row>
    <row r="42" customFormat="false" ht="15" hidden="false" customHeight="false" outlineLevel="0" collapsed="false">
      <c r="A42" s="27" t="n">
        <v>39</v>
      </c>
      <c r="B42" s="28" t="s">
        <v>62</v>
      </c>
      <c r="C42" s="29" t="n">
        <v>0.04</v>
      </c>
      <c r="D42" s="41" t="s">
        <v>21</v>
      </c>
      <c r="E42" s="31" t="n">
        <v>2</v>
      </c>
      <c r="F42" s="31" t="n">
        <v>2</v>
      </c>
      <c r="G42" s="31" t="n">
        <v>0</v>
      </c>
      <c r="H42" s="31" t="n">
        <v>0</v>
      </c>
      <c r="I42" s="31" t="n">
        <v>8</v>
      </c>
      <c r="J42" s="31" t="n">
        <v>4</v>
      </c>
      <c r="K42" s="31" t="n">
        <v>1</v>
      </c>
      <c r="L42" s="22" t="n">
        <f aca="false">E42*' RS2-a'!C$141</f>
        <v>9072.18867289102</v>
      </c>
      <c r="M42" s="22" t="n">
        <f aca="false">F42*' RS2-a'!D$141</f>
        <v>12399.2779050114</v>
      </c>
      <c r="N42" s="22" t="n">
        <f aca="false">G42*' RS2-a'!E$141</f>
        <v>0</v>
      </c>
      <c r="O42" s="22" t="n">
        <f aca="false">H42*' RS2-a'!F$141</f>
        <v>0</v>
      </c>
      <c r="P42" s="23" t="n">
        <f aca="false">I42*' RS2-a'!D$147</f>
        <v>225.441416454752</v>
      </c>
      <c r="Q42" s="23" t="n">
        <f aca="false">J42*' RS2-a'!F$147</f>
        <v>127.381810524933</v>
      </c>
      <c r="R42" s="23" t="n">
        <f aca="false">MC!$B$26*K42</f>
        <v>226.89</v>
      </c>
      <c r="S42" s="24"/>
      <c r="T42" s="25" t="n">
        <f aca="false">SUM(L42:R42)</f>
        <v>22051.1798048821</v>
      </c>
    </row>
    <row r="43" customFormat="false" ht="15" hidden="false" customHeight="false" outlineLevel="0" collapsed="false">
      <c r="A43" s="27" t="n">
        <v>40</v>
      </c>
      <c r="B43" s="28" t="s">
        <v>63</v>
      </c>
      <c r="C43" s="29" t="n">
        <v>0.03</v>
      </c>
      <c r="D43" s="41" t="s">
        <v>21</v>
      </c>
      <c r="E43" s="31" t="n">
        <v>1</v>
      </c>
      <c r="F43" s="31" t="n">
        <v>1</v>
      </c>
      <c r="G43" s="31" t="n">
        <v>0</v>
      </c>
      <c r="H43" s="31" t="n">
        <v>0</v>
      </c>
      <c r="I43" s="31" t="n">
        <v>8</v>
      </c>
      <c r="J43" s="31" t="n">
        <v>4</v>
      </c>
      <c r="K43" s="31" t="n">
        <v>1</v>
      </c>
      <c r="L43" s="22" t="n">
        <f aca="false">E43*' RS2-a'!C$139</f>
        <v>4487.5020029003</v>
      </c>
      <c r="M43" s="22" t="n">
        <f aca="false">F43*' RS2-a'!D$139</f>
        <v>6133.22610887948</v>
      </c>
      <c r="N43" s="22" t="n">
        <f aca="false">G43*' RS2-a'!E$139</f>
        <v>0</v>
      </c>
      <c r="O43" s="22" t="n">
        <f aca="false">H43*' RS2-a'!F$139</f>
        <v>0</v>
      </c>
      <c r="P43" s="23" t="n">
        <f aca="false">I43*' RS2-a'!D$145</f>
        <v>223.026403959254</v>
      </c>
      <c r="Q43" s="23" t="n">
        <f aca="false">J43*' RS2-a'!F$145</f>
        <v>126.017249083851</v>
      </c>
      <c r="R43" s="23" t="n">
        <f aca="false">MC!$B$26*K43</f>
        <v>226.89</v>
      </c>
      <c r="S43" s="24"/>
      <c r="T43" s="25" t="n">
        <f aca="false">SUM(L43:R43)</f>
        <v>11196.6617648229</v>
      </c>
    </row>
    <row r="44" customFormat="false" ht="15" hidden="false" customHeight="false" outlineLevel="0" collapsed="false">
      <c r="A44" s="27" t="n">
        <v>41</v>
      </c>
      <c r="B44" s="28" t="s">
        <v>64</v>
      </c>
      <c r="C44" s="29" t="n">
        <v>0.025</v>
      </c>
      <c r="D44" s="41" t="s">
        <v>21</v>
      </c>
      <c r="E44" s="31" t="n">
        <v>0</v>
      </c>
      <c r="F44" s="31" t="n">
        <v>1</v>
      </c>
      <c r="G44" s="31" t="n">
        <v>0</v>
      </c>
      <c r="H44" s="31" t="n">
        <v>0</v>
      </c>
      <c r="I44" s="31" t="n">
        <v>8</v>
      </c>
      <c r="J44" s="31" t="n">
        <v>4</v>
      </c>
      <c r="K44" s="31" t="n">
        <v>1</v>
      </c>
      <c r="L44" s="22" t="n">
        <f aca="false">E44*' RS2-a'!C$138</f>
        <v>0</v>
      </c>
      <c r="M44" s="22" t="n">
        <f aca="false">F44*' RS2-a'!D$138</f>
        <v>6100.55042369632</v>
      </c>
      <c r="N44" s="22" t="n">
        <f aca="false">G44*' RS2-a'!E$138</f>
        <v>0</v>
      </c>
      <c r="O44" s="22" t="n">
        <f aca="false">H44*' RS2-a'!F$138</f>
        <v>0</v>
      </c>
      <c r="P44" s="23" t="n">
        <f aca="false">I44*' RS2-a'!D$144</f>
        <v>221.838197225321</v>
      </c>
      <c r="Q44" s="23" t="n">
        <f aca="false">J44*' RS2-a'!F$144</f>
        <v>125.345873222989</v>
      </c>
      <c r="R44" s="23" t="n">
        <f aca="false">MC!$B$26*K44</f>
        <v>226.89</v>
      </c>
      <c r="S44" s="24"/>
      <c r="T44" s="25" t="n">
        <f aca="false">SUM(L44:R44)</f>
        <v>6674.62449414463</v>
      </c>
    </row>
    <row r="45" customFormat="false" ht="15" hidden="false" customHeight="false" outlineLevel="0" collapsed="false">
      <c r="A45" s="27" t="n">
        <v>42</v>
      </c>
      <c r="B45" s="28" t="s">
        <v>65</v>
      </c>
      <c r="C45" s="29" t="n">
        <v>0.03</v>
      </c>
      <c r="D45" s="41" t="s">
        <v>21</v>
      </c>
      <c r="E45" s="31" t="n">
        <v>0</v>
      </c>
      <c r="F45" s="31" t="n">
        <v>1</v>
      </c>
      <c r="G45" s="31" t="n">
        <v>0</v>
      </c>
      <c r="H45" s="31" t="n">
        <v>0</v>
      </c>
      <c r="I45" s="31" t="n">
        <v>8</v>
      </c>
      <c r="J45" s="31" t="n">
        <v>4</v>
      </c>
      <c r="K45" s="31" t="n">
        <v>1</v>
      </c>
      <c r="L45" s="22" t="n">
        <f aca="false">E45*' RS2-a'!C$139</f>
        <v>0</v>
      </c>
      <c r="M45" s="22" t="n">
        <f aca="false">F45*' RS2-a'!D$139</f>
        <v>6133.22610887948</v>
      </c>
      <c r="N45" s="22" t="n">
        <f aca="false">G45*' RS2-a'!E$139</f>
        <v>0</v>
      </c>
      <c r="O45" s="22" t="n">
        <f aca="false">H45*' RS2-a'!F$139</f>
        <v>0</v>
      </c>
      <c r="P45" s="23" t="n">
        <f aca="false">I45*' RS2-a'!D$145</f>
        <v>223.026403959254</v>
      </c>
      <c r="Q45" s="23" t="n">
        <f aca="false">J45*' RS2-a'!F$145</f>
        <v>126.017249083851</v>
      </c>
      <c r="R45" s="23" t="n">
        <f aca="false">MC!$B$26*K45</f>
        <v>226.89</v>
      </c>
      <c r="S45" s="24"/>
      <c r="T45" s="25" t="n">
        <f aca="false">SUM(L45:R45)</f>
        <v>6709.15976192259</v>
      </c>
    </row>
    <row r="46" customFormat="false" ht="15" hidden="false" customHeight="false" outlineLevel="0" collapsed="false">
      <c r="A46" s="27" t="n">
        <v>43</v>
      </c>
      <c r="B46" s="28" t="s">
        <v>66</v>
      </c>
      <c r="C46" s="29" t="n">
        <v>0.03</v>
      </c>
      <c r="D46" s="41" t="s">
        <v>21</v>
      </c>
      <c r="E46" s="31" t="n">
        <v>1</v>
      </c>
      <c r="F46" s="31" t="n">
        <v>1</v>
      </c>
      <c r="G46" s="31" t="n">
        <v>0</v>
      </c>
      <c r="H46" s="31" t="n">
        <v>0</v>
      </c>
      <c r="I46" s="31" t="n">
        <v>8</v>
      </c>
      <c r="J46" s="31" t="n">
        <v>4</v>
      </c>
      <c r="K46" s="31" t="n">
        <v>1</v>
      </c>
      <c r="L46" s="22" t="n">
        <f aca="false">E46*' RS2-a'!C139</f>
        <v>4487.5020029003</v>
      </c>
      <c r="M46" s="22" t="n">
        <f aca="false">F46*' RS2-a'!D139</f>
        <v>6133.22610887948</v>
      </c>
      <c r="N46" s="22" t="n">
        <f aca="false">G46*' RS2-a'!E139</f>
        <v>0</v>
      </c>
      <c r="O46" s="22" t="n">
        <f aca="false">H46*' RS2-a'!F139</f>
        <v>0</v>
      </c>
      <c r="P46" s="23" t="n">
        <f aca="false">I46*' RS2-a'!D$145</f>
        <v>223.026403959254</v>
      </c>
      <c r="Q46" s="23" t="n">
        <f aca="false">J46*' RS2-a'!F$145</f>
        <v>126.017249083851</v>
      </c>
      <c r="R46" s="23" t="n">
        <f aca="false">MC!$B$26*K46</f>
        <v>226.89</v>
      </c>
      <c r="S46" s="24"/>
      <c r="T46" s="25" t="n">
        <f aca="false">SUM(L46:R46)</f>
        <v>11196.6617648229</v>
      </c>
    </row>
    <row r="47" customFormat="false" ht="15" hidden="false" customHeight="false" outlineLevel="0" collapsed="false">
      <c r="A47" s="17" t="n">
        <v>44</v>
      </c>
      <c r="B47" s="18" t="s">
        <v>67</v>
      </c>
      <c r="C47" s="19" t="n">
        <v>0.05</v>
      </c>
      <c r="D47" s="37" t="s">
        <v>21</v>
      </c>
      <c r="E47" s="21" t="n">
        <v>0</v>
      </c>
      <c r="F47" s="21" t="n">
        <v>0</v>
      </c>
      <c r="G47" s="21" t="n">
        <v>1</v>
      </c>
      <c r="H47" s="21" t="n">
        <v>0</v>
      </c>
      <c r="I47" s="21" t="n">
        <v>8</v>
      </c>
      <c r="J47" s="21" t="n">
        <v>4</v>
      </c>
      <c r="K47" s="21" t="n">
        <v>1</v>
      </c>
      <c r="L47" s="22" t="n">
        <f aca="false">E47*' RS2-a'!C$142</f>
        <v>0</v>
      </c>
      <c r="M47" s="22" t="n">
        <f aca="false">F47*' RS2-a'!D$142</f>
        <v>0</v>
      </c>
      <c r="N47" s="22" t="n">
        <f aca="false">G47*' RS2-a'!E$142</f>
        <v>12359.1907996612</v>
      </c>
      <c r="O47" s="22" t="n">
        <f aca="false">H47*' RS2-a'!F$142</f>
        <v>0</v>
      </c>
      <c r="P47" s="23" t="n">
        <f aca="false">I47*' RS2-a'!D$148</f>
        <v>227.909302787043</v>
      </c>
      <c r="Q47" s="23" t="n">
        <f aca="false">J47*' RS2-a'!F$148</f>
        <v>128.776247421757</v>
      </c>
      <c r="R47" s="23" t="n">
        <f aca="false">MC!$B$26*K47</f>
        <v>226.89</v>
      </c>
      <c r="S47" s="24"/>
      <c r="T47" s="25" t="n">
        <f aca="false">SUM(L47:R47)</f>
        <v>12942.76634987</v>
      </c>
    </row>
    <row r="48" customFormat="false" ht="15" hidden="false" customHeight="false" outlineLevel="0" collapsed="false">
      <c r="A48" s="27" t="n">
        <v>45</v>
      </c>
      <c r="B48" s="28" t="s">
        <v>68</v>
      </c>
      <c r="C48" s="29" t="n">
        <v>0.03</v>
      </c>
      <c r="D48" s="41" t="s">
        <v>21</v>
      </c>
      <c r="E48" s="31" t="n">
        <v>0</v>
      </c>
      <c r="F48" s="31" t="n">
        <v>1</v>
      </c>
      <c r="G48" s="31" t="n">
        <v>0</v>
      </c>
      <c r="H48" s="31" t="n">
        <v>0</v>
      </c>
      <c r="I48" s="31" t="n">
        <v>8</v>
      </c>
      <c r="J48" s="31" t="n">
        <v>4</v>
      </c>
      <c r="K48" s="31" t="n">
        <v>1</v>
      </c>
      <c r="L48" s="22" t="n">
        <f aca="false">E48*' RS2-a'!C139</f>
        <v>0</v>
      </c>
      <c r="M48" s="22" t="n">
        <f aca="false">F48*' RS2-a'!D139</f>
        <v>6133.22610887948</v>
      </c>
      <c r="N48" s="22" t="n">
        <f aca="false">G48*' RS2-a'!E139</f>
        <v>0</v>
      </c>
      <c r="O48" s="22" t="n">
        <f aca="false">H48*' RS2-a'!F139</f>
        <v>0</v>
      </c>
      <c r="P48" s="23" t="n">
        <f aca="false">I48*' RS2-a'!D$145</f>
        <v>223.026403959254</v>
      </c>
      <c r="Q48" s="23" t="n">
        <f aca="false">J48*' RS2-a'!F$145</f>
        <v>126.017249083851</v>
      </c>
      <c r="R48" s="23" t="n">
        <f aca="false">MC!$B$26*K48</f>
        <v>226.89</v>
      </c>
      <c r="S48" s="24"/>
      <c r="T48" s="25" t="n">
        <f aca="false">SUM(L48:R48)</f>
        <v>6709.15976192259</v>
      </c>
    </row>
    <row r="49" customFormat="false" ht="15" hidden="false" customHeight="false" outlineLevel="0" collapsed="false">
      <c r="A49" s="27" t="n">
        <v>46</v>
      </c>
      <c r="B49" s="28" t="s">
        <v>69</v>
      </c>
      <c r="C49" s="29" t="n">
        <v>0.025</v>
      </c>
      <c r="D49" s="41" t="s">
        <v>21</v>
      </c>
      <c r="E49" s="31" t="n">
        <v>1</v>
      </c>
      <c r="F49" s="31" t="n">
        <v>1</v>
      </c>
      <c r="G49" s="31" t="n">
        <v>0</v>
      </c>
      <c r="H49" s="31" t="n">
        <v>0</v>
      </c>
      <c r="I49" s="31" t="n">
        <v>8</v>
      </c>
      <c r="J49" s="31" t="n">
        <v>4</v>
      </c>
      <c r="K49" s="31" t="n">
        <v>1</v>
      </c>
      <c r="L49" s="22" t="n">
        <f aca="false">E49*' RS2-a'!C$138</f>
        <v>4463.5941605833</v>
      </c>
      <c r="M49" s="22" t="n">
        <f aca="false">F49*' RS2-a'!D$138</f>
        <v>6100.55042369632</v>
      </c>
      <c r="N49" s="22" t="n">
        <f aca="false">G49*' RS2-a'!E$138</f>
        <v>0</v>
      </c>
      <c r="O49" s="22" t="n">
        <f aca="false">H49*' RS2-a'!F$138</f>
        <v>0</v>
      </c>
      <c r="P49" s="23" t="n">
        <f aca="false">I49*' RS2-a'!D$144</f>
        <v>221.838197225321</v>
      </c>
      <c r="Q49" s="23" t="n">
        <f aca="false">J49*' RS2-a'!F$144</f>
        <v>125.345873222989</v>
      </c>
      <c r="R49" s="23" t="n">
        <f aca="false">MC!$B$26*K49</f>
        <v>226.89</v>
      </c>
      <c r="S49" s="24"/>
      <c r="T49" s="25" t="n">
        <f aca="false">SUM(L49:R49)</f>
        <v>11138.2186547279</v>
      </c>
    </row>
    <row r="50" customFormat="false" ht="15" hidden="false" customHeight="false" outlineLevel="0" collapsed="false">
      <c r="A50" s="27" t="n">
        <v>47</v>
      </c>
      <c r="B50" s="28" t="s">
        <v>70</v>
      </c>
      <c r="C50" s="29" t="n">
        <v>0.03</v>
      </c>
      <c r="D50" s="41" t="s">
        <v>21</v>
      </c>
      <c r="E50" s="31" t="n">
        <v>1</v>
      </c>
      <c r="F50" s="31" t="n">
        <v>1</v>
      </c>
      <c r="G50" s="31" t="n">
        <v>0</v>
      </c>
      <c r="H50" s="31" t="n">
        <v>0</v>
      </c>
      <c r="I50" s="31" t="n">
        <v>8</v>
      </c>
      <c r="J50" s="31" t="n">
        <v>4</v>
      </c>
      <c r="K50" s="31" t="n">
        <v>1</v>
      </c>
      <c r="L50" s="22" t="n">
        <f aca="false">E50*' RS2-a'!C$139</f>
        <v>4487.5020029003</v>
      </c>
      <c r="M50" s="22" t="n">
        <f aca="false">F50*' RS2-a'!D$139</f>
        <v>6133.22610887948</v>
      </c>
      <c r="N50" s="22" t="n">
        <f aca="false">G50*' RS2-a'!E$139</f>
        <v>0</v>
      </c>
      <c r="O50" s="22" t="n">
        <f aca="false">H50*' RS2-a'!F$139</f>
        <v>0</v>
      </c>
      <c r="P50" s="23" t="n">
        <f aca="false">I50*' RS2-a'!D$145</f>
        <v>223.026403959254</v>
      </c>
      <c r="Q50" s="23" t="n">
        <f aca="false">J50*' RS2-a'!F$145</f>
        <v>126.017249083851</v>
      </c>
      <c r="R50" s="23" t="n">
        <f aca="false">MC!$B$26*K50</f>
        <v>226.89</v>
      </c>
      <c r="S50" s="24"/>
      <c r="T50" s="25" t="n">
        <f aca="false">SUM(L50:R50)</f>
        <v>11196.6617648229</v>
      </c>
    </row>
    <row r="51" customFormat="false" ht="15" hidden="false" customHeight="false" outlineLevel="0" collapsed="false">
      <c r="A51" s="27" t="n">
        <v>48</v>
      </c>
      <c r="B51" s="28" t="s">
        <v>71</v>
      </c>
      <c r="C51" s="29" t="n">
        <v>0.02</v>
      </c>
      <c r="D51" s="41" t="s">
        <v>21</v>
      </c>
      <c r="E51" s="31" t="n">
        <v>1</v>
      </c>
      <c r="F51" s="31" t="n">
        <v>1</v>
      </c>
      <c r="G51" s="31" t="n">
        <v>0</v>
      </c>
      <c r="H51" s="31" t="n">
        <v>0</v>
      </c>
      <c r="I51" s="31" t="n">
        <v>8</v>
      </c>
      <c r="J51" s="31" t="n">
        <v>4</v>
      </c>
      <c r="K51" s="31" t="n">
        <v>1</v>
      </c>
      <c r="L51" s="22" t="n">
        <f aca="false">E51*' RS2-a'!C$137</f>
        <v>4439.93971352139</v>
      </c>
      <c r="M51" s="22" t="n">
        <f aca="false">F51*' RS2-a'!D$137</f>
        <v>6068.22106268044</v>
      </c>
      <c r="N51" s="22" t="n">
        <f aca="false">G51*' RS2-a'!E$137</f>
        <v>0</v>
      </c>
      <c r="O51" s="22" t="n">
        <f aca="false">H51*' RS2-a'!F$137</f>
        <v>0</v>
      </c>
      <c r="P51" s="23" t="n">
        <f aca="false">I51*' RS2-a'!D$143</f>
        <v>220.662584097471</v>
      </c>
      <c r="Q51" s="23" t="n">
        <f aca="false">J51*' RS2-a'!F$143</f>
        <v>124.681613163514</v>
      </c>
      <c r="R51" s="23" t="n">
        <f aca="false">MC!$B$26*K51</f>
        <v>226.89</v>
      </c>
      <c r="S51" s="24"/>
      <c r="T51" s="25" t="n">
        <f aca="false">SUM(L51:R51)</f>
        <v>11080.3949734628</v>
      </c>
    </row>
    <row r="52" customFormat="false" ht="15" hidden="false" customHeight="false" outlineLevel="0" collapsed="false">
      <c r="A52" s="27" t="n">
        <v>49</v>
      </c>
      <c r="B52" s="28" t="s">
        <v>72</v>
      </c>
      <c r="C52" s="29" t="n">
        <v>0.03</v>
      </c>
      <c r="D52" s="41" t="s">
        <v>21</v>
      </c>
      <c r="E52" s="31" t="n">
        <v>1</v>
      </c>
      <c r="F52" s="31" t="n">
        <v>1</v>
      </c>
      <c r="G52" s="31" t="n">
        <v>0</v>
      </c>
      <c r="H52" s="31" t="n">
        <v>0</v>
      </c>
      <c r="I52" s="31" t="n">
        <v>8</v>
      </c>
      <c r="J52" s="31" t="n">
        <v>4</v>
      </c>
      <c r="K52" s="31" t="n">
        <v>1</v>
      </c>
      <c r="L52" s="22" t="n">
        <f aca="false">E52*' RS2-a'!C$139</f>
        <v>4487.5020029003</v>
      </c>
      <c r="M52" s="22" t="n">
        <f aca="false">F52*' RS2-a'!D$139</f>
        <v>6133.22610887948</v>
      </c>
      <c r="N52" s="22" t="n">
        <f aca="false">G52*' RS2-a'!E$139</f>
        <v>0</v>
      </c>
      <c r="O52" s="22" t="n">
        <f aca="false">H52*' RS2-a'!F$139</f>
        <v>0</v>
      </c>
      <c r="P52" s="23" t="n">
        <f aca="false">I52*' RS2-a'!D$145</f>
        <v>223.026403959254</v>
      </c>
      <c r="Q52" s="23" t="n">
        <f aca="false">J52*' RS2-a'!F$145</f>
        <v>126.017249083851</v>
      </c>
      <c r="R52" s="23" t="n">
        <f aca="false">MC!$B$26*K52</f>
        <v>226.89</v>
      </c>
      <c r="S52" s="24"/>
      <c r="T52" s="25" t="n">
        <f aca="false">SUM(L52:R52)</f>
        <v>11196.6617648229</v>
      </c>
    </row>
    <row r="53" customFormat="false" ht="15" hidden="false" customHeight="false" outlineLevel="0" collapsed="false">
      <c r="A53" s="27" t="n">
        <v>50</v>
      </c>
      <c r="B53" s="28" t="s">
        <v>73</v>
      </c>
      <c r="C53" s="29" t="n">
        <v>0.03</v>
      </c>
      <c r="D53" s="41" t="s">
        <v>21</v>
      </c>
      <c r="E53" s="31" t="n">
        <v>0</v>
      </c>
      <c r="F53" s="31" t="n">
        <v>2</v>
      </c>
      <c r="G53" s="31" t="n">
        <v>0</v>
      </c>
      <c r="H53" s="31" t="n">
        <v>0</v>
      </c>
      <c r="I53" s="31" t="n">
        <v>8</v>
      </c>
      <c r="J53" s="31" t="n">
        <v>4</v>
      </c>
      <c r="K53" s="31" t="n">
        <v>1</v>
      </c>
      <c r="L53" s="22" t="n">
        <f aca="false">E53*' RS2-a'!C$139</f>
        <v>0</v>
      </c>
      <c r="M53" s="22" t="n">
        <f aca="false">F53*' RS2-a'!D$139</f>
        <v>12266.452217759</v>
      </c>
      <c r="N53" s="22" t="n">
        <f aca="false">G53*' RS2-a'!E$139</f>
        <v>0</v>
      </c>
      <c r="O53" s="22" t="n">
        <f aca="false">H53*' RS2-a'!F$139</f>
        <v>0</v>
      </c>
      <c r="P53" s="23" t="n">
        <f aca="false">I53*' RS2-a'!D$145</f>
        <v>223.026403959254</v>
      </c>
      <c r="Q53" s="23" t="n">
        <f aca="false">J53*' RS2-a'!F$145</f>
        <v>126.017249083851</v>
      </c>
      <c r="R53" s="23" t="n">
        <f aca="false">MC!$B$26*K53</f>
        <v>226.89</v>
      </c>
      <c r="S53" s="24"/>
      <c r="T53" s="25" t="n">
        <f aca="false">SUM(L53:R53)</f>
        <v>12842.3858708021</v>
      </c>
    </row>
    <row r="54" customFormat="false" ht="15" hidden="false" customHeight="false" outlineLevel="0" collapsed="false">
      <c r="A54" s="27" t="n">
        <v>51</v>
      </c>
      <c r="B54" s="28" t="s">
        <v>74</v>
      </c>
      <c r="C54" s="29" t="n">
        <v>0.03</v>
      </c>
      <c r="D54" s="41" t="s">
        <v>21</v>
      </c>
      <c r="E54" s="31" t="n">
        <v>0</v>
      </c>
      <c r="F54" s="31" t="n">
        <v>1</v>
      </c>
      <c r="G54" s="31" t="n">
        <v>0</v>
      </c>
      <c r="H54" s="31" t="n">
        <v>0</v>
      </c>
      <c r="I54" s="31" t="n">
        <v>8</v>
      </c>
      <c r="J54" s="31" t="n">
        <v>4</v>
      </c>
      <c r="K54" s="31" t="n">
        <v>1</v>
      </c>
      <c r="L54" s="22" t="n">
        <f aca="false">E54*' RS2-a'!C$139</f>
        <v>0</v>
      </c>
      <c r="M54" s="22" t="n">
        <f aca="false">F54*' RS2-a'!D$139</f>
        <v>6133.22610887948</v>
      </c>
      <c r="N54" s="22" t="n">
        <f aca="false">G54*' RS2-a'!E$139</f>
        <v>0</v>
      </c>
      <c r="O54" s="22" t="n">
        <f aca="false">H54*' RS2-a'!F$139</f>
        <v>0</v>
      </c>
      <c r="P54" s="23" t="n">
        <f aca="false">I54*' RS2-a'!D$145</f>
        <v>223.026403959254</v>
      </c>
      <c r="Q54" s="23" t="n">
        <f aca="false">J54*' RS2-a'!F$145</f>
        <v>126.017249083851</v>
      </c>
      <c r="R54" s="23" t="n">
        <f aca="false">MC!$B$26*K54</f>
        <v>226.89</v>
      </c>
      <c r="S54" s="24"/>
      <c r="T54" s="25" t="n">
        <f aca="false">SUM(L54:R54)</f>
        <v>6709.15976192259</v>
      </c>
    </row>
    <row r="55" customFormat="false" ht="15" hidden="false" customHeight="false" outlineLevel="0" collapsed="false">
      <c r="A55" s="27" t="n">
        <v>52</v>
      </c>
      <c r="B55" s="28" t="s">
        <v>75</v>
      </c>
      <c r="C55" s="29" t="n">
        <v>0.03</v>
      </c>
      <c r="D55" s="41" t="s">
        <v>21</v>
      </c>
      <c r="E55" s="31" t="n">
        <v>1</v>
      </c>
      <c r="F55" s="31" t="n">
        <v>1</v>
      </c>
      <c r="G55" s="31" t="n">
        <v>0</v>
      </c>
      <c r="H55" s="31" t="n">
        <v>0</v>
      </c>
      <c r="I55" s="31" t="n">
        <v>8</v>
      </c>
      <c r="J55" s="31" t="n">
        <v>4</v>
      </c>
      <c r="K55" s="31" t="n">
        <v>1</v>
      </c>
      <c r="L55" s="22" t="n">
        <f aca="false">E55*' RS2-a'!C$139</f>
        <v>4487.5020029003</v>
      </c>
      <c r="M55" s="22" t="n">
        <f aca="false">F55*' RS2-a'!D$139</f>
        <v>6133.22610887948</v>
      </c>
      <c r="N55" s="22" t="n">
        <f aca="false">G55*' RS2-a'!E$139</f>
        <v>0</v>
      </c>
      <c r="O55" s="22" t="n">
        <f aca="false">H55*' RS2-a'!F$139</f>
        <v>0</v>
      </c>
      <c r="P55" s="23" t="n">
        <f aca="false">I55*' RS2-a'!D$145</f>
        <v>223.026403959254</v>
      </c>
      <c r="Q55" s="23" t="n">
        <f aca="false">J55*' RS2-a'!F$145</f>
        <v>126.017249083851</v>
      </c>
      <c r="R55" s="23" t="n">
        <f aca="false">MC!$B$26*K55</f>
        <v>226.89</v>
      </c>
      <c r="S55" s="24"/>
      <c r="T55" s="25" t="n">
        <f aca="false">SUM(L55:R55)</f>
        <v>11196.6617648229</v>
      </c>
    </row>
    <row r="56" customFormat="false" ht="15" hidden="false" customHeight="false" outlineLevel="0" collapsed="false">
      <c r="A56" s="27" t="n">
        <v>53</v>
      </c>
      <c r="B56" s="28" t="s">
        <v>76</v>
      </c>
      <c r="C56" s="29" t="n">
        <v>0.05</v>
      </c>
      <c r="D56" s="41" t="s">
        <v>21</v>
      </c>
      <c r="E56" s="31" t="n">
        <v>2</v>
      </c>
      <c r="F56" s="31" t="n">
        <v>1</v>
      </c>
      <c r="G56" s="31" t="n">
        <v>0</v>
      </c>
      <c r="H56" s="31" t="n">
        <v>0</v>
      </c>
      <c r="I56" s="31" t="n">
        <v>8</v>
      </c>
      <c r="J56" s="31" t="n">
        <v>4</v>
      </c>
      <c r="K56" s="31" t="n">
        <v>1</v>
      </c>
      <c r="L56" s="22" t="n">
        <f aca="false">E56*' RS2-a'!C$142</f>
        <v>9171.5010831033</v>
      </c>
      <c r="M56" s="22" t="n">
        <f aca="false">F56*' RS2-a'!D$142</f>
        <v>6267.50582664367</v>
      </c>
      <c r="N56" s="22" t="n">
        <f aca="false">G56*' RS2-a'!E$142</f>
        <v>0</v>
      </c>
      <c r="O56" s="22" t="n">
        <f aca="false">H56*' RS2-a'!F$142</f>
        <v>0</v>
      </c>
      <c r="P56" s="23" t="n">
        <f aca="false">I56*' RS2-a'!D$148</f>
        <v>227.909302787043</v>
      </c>
      <c r="Q56" s="23" t="n">
        <f aca="false">J56*' RS2-a'!F$148</f>
        <v>128.776247421757</v>
      </c>
      <c r="R56" s="23" t="n">
        <f aca="false">MC!$B$26*K56</f>
        <v>226.89</v>
      </c>
      <c r="S56" s="24"/>
      <c r="T56" s="25" t="n">
        <f aca="false">SUM(L56:R56)</f>
        <v>16022.5824599558</v>
      </c>
    </row>
    <row r="57" customFormat="false" ht="15" hidden="false" customHeight="false" outlineLevel="0" collapsed="false">
      <c r="A57" s="43" t="n">
        <f aca="false">A56</f>
        <v>53</v>
      </c>
      <c r="B57" s="44" t="s">
        <v>77</v>
      </c>
      <c r="C57" s="44"/>
      <c r="D57" s="44"/>
      <c r="E57" s="45" t="n">
        <f aca="false">SUM(E4:E56)</f>
        <v>37</v>
      </c>
      <c r="F57" s="45" t="n">
        <f aca="false">SUM(F4:F56)</f>
        <v>48</v>
      </c>
      <c r="G57" s="45" t="n">
        <f aca="false">SUM(G4:G56)</f>
        <v>5</v>
      </c>
      <c r="H57" s="45" t="n">
        <f aca="false">SUM(H4:H56)</f>
        <v>2</v>
      </c>
      <c r="I57" s="45" t="n">
        <f aca="false">SUM(I4:I56)</f>
        <v>424</v>
      </c>
      <c r="J57" s="45" t="n">
        <f aca="false">SUM(J4:J56)</f>
        <v>212</v>
      </c>
      <c r="K57" s="45" t="n">
        <f aca="false">SUM(K4:K56)</f>
        <v>53</v>
      </c>
      <c r="L57" s="46" t="n">
        <f aca="false">ROUND(SUM(L4:L56),2)</f>
        <v>166118.84</v>
      </c>
      <c r="M57" s="46" t="n">
        <f aca="false">ROUND(SUM(M4:M56),2)</f>
        <v>294715.4</v>
      </c>
      <c r="N57" s="46" t="n">
        <f aca="false">ROUND(SUM(N4:N56),2)</f>
        <v>60696.84</v>
      </c>
      <c r="O57" s="46" t="n">
        <f aca="false">ROUND(SUM(O4:O56),2)</f>
        <v>27662.34</v>
      </c>
      <c r="P57" s="46" t="n">
        <f aca="false">ROUND(SUM(P4:P56),2)</f>
        <v>11829.9</v>
      </c>
      <c r="Q57" s="46" t="n">
        <f aca="false">ROUND(SUM(Q4:Q56),2)</f>
        <v>6685.12</v>
      </c>
      <c r="R57" s="46" t="n">
        <f aca="false">ROUND(SUM(R4:R56),2)</f>
        <v>12025.17</v>
      </c>
      <c r="S57" s="24"/>
      <c r="T57" s="47" t="n">
        <f aca="false">ROUND(SUM(T4:T56),2)</f>
        <v>579733.59</v>
      </c>
    </row>
    <row r="58" s="1" customFormat="true" ht="15" hidden="false" customHeight="false" outlineLevel="0" collapsed="false">
      <c r="A58" s="48"/>
    </row>
    <row r="59" customFormat="false" ht="15" hidden="false" customHeight="false" outlineLevel="0" collapsed="false">
      <c r="A59" s="49"/>
      <c r="B59" s="50" t="s">
        <v>78</v>
      </c>
      <c r="C59" s="50"/>
      <c r="D59" s="50"/>
      <c r="E59" s="51" t="n">
        <f aca="false">E57</f>
        <v>37</v>
      </c>
      <c r="F59" s="51" t="n">
        <f aca="false">F57</f>
        <v>48</v>
      </c>
      <c r="G59" s="51" t="n">
        <f aca="false">G57</f>
        <v>5</v>
      </c>
      <c r="H59" s="51" t="n">
        <f aca="false">H57</f>
        <v>2</v>
      </c>
      <c r="I59" s="51" t="n">
        <f aca="false">I57</f>
        <v>424</v>
      </c>
      <c r="J59" s="51" t="n">
        <f aca="false">J57</f>
        <v>212</v>
      </c>
      <c r="K59" s="51" t="n">
        <f aca="false">K57</f>
        <v>53</v>
      </c>
      <c r="L59" s="52" t="n">
        <f aca="false">(L57)</f>
        <v>166118.84</v>
      </c>
      <c r="M59" s="52" t="n">
        <f aca="false">(M57)</f>
        <v>294715.4</v>
      </c>
      <c r="N59" s="52" t="n">
        <f aca="false">(N57)</f>
        <v>60696.84</v>
      </c>
      <c r="O59" s="52" t="n">
        <f aca="false">(O57)</f>
        <v>27662.34</v>
      </c>
      <c r="P59" s="52" t="n">
        <f aca="false">(P57)</f>
        <v>11829.9</v>
      </c>
      <c r="Q59" s="52" t="n">
        <f aca="false">(Q57)</f>
        <v>6685.12</v>
      </c>
      <c r="R59" s="52" t="n">
        <f aca="false">(R57)</f>
        <v>12025.17</v>
      </c>
      <c r="S59" s="53"/>
      <c r="T59" s="53"/>
    </row>
    <row r="60" customFormat="false" ht="15" hidden="false" customHeight="false" outlineLevel="0" collapsed="false">
      <c r="A60" s="49"/>
      <c r="B60" s="50"/>
      <c r="C60" s="50"/>
      <c r="D60" s="50"/>
      <c r="E60" s="49"/>
      <c r="F60" s="54" t="s">
        <v>79</v>
      </c>
      <c r="G60" s="54"/>
      <c r="H60" s="49"/>
      <c r="I60" s="49"/>
      <c r="J60" s="49"/>
      <c r="K60" s="49"/>
      <c r="L60" s="53" t="n">
        <f aca="false">(L59/E59)</f>
        <v>4489.69837837838</v>
      </c>
      <c r="M60" s="53" t="n">
        <f aca="false">(M59/F59)</f>
        <v>6139.90416666667</v>
      </c>
      <c r="N60" s="53" t="n">
        <f aca="false">(N59/G59)</f>
        <v>12139.368</v>
      </c>
      <c r="O60" s="53" t="n">
        <f aca="false">(O59/H59)</f>
        <v>13831.17</v>
      </c>
      <c r="P60" s="53" t="n">
        <f aca="false">(P59/I59)</f>
        <v>27.9007075471698</v>
      </c>
      <c r="Q60" s="53" t="n">
        <f aca="false">(Q59/J59)</f>
        <v>31.5335849056604</v>
      </c>
      <c r="R60" s="53" t="n">
        <f aca="false">(R59/K59)</f>
        <v>226.89</v>
      </c>
      <c r="S60" s="53"/>
      <c r="T60" s="53"/>
    </row>
    <row r="61" customFormat="false" ht="15" hidden="false" customHeight="false" outlineLevel="0" collapsed="false">
      <c r="A61" s="55"/>
      <c r="B61" s="28"/>
      <c r="C61" s="28"/>
      <c r="D61" s="28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6" t="s">
        <v>80</v>
      </c>
      <c r="Q61" s="57" t="s">
        <v>81</v>
      </c>
      <c r="R61" s="57"/>
      <c r="S61" s="57"/>
      <c r="T61" s="58" t="n">
        <f aca="false">ROUND((L59+M59+N59+O59+P59+Q59+R59),2)</f>
        <v>579733.61</v>
      </c>
      <c r="U61" s="59"/>
      <c r="V61" s="60"/>
    </row>
    <row r="62" customFormat="false" ht="15" hidden="false" customHeight="false" outlineLevel="0" collapsed="false">
      <c r="A62" s="61"/>
      <c r="B62" s="62"/>
      <c r="C62" s="62"/>
      <c r="D62" s="62"/>
      <c r="E62" s="61"/>
      <c r="F62" s="61"/>
      <c r="G62" s="61"/>
      <c r="H62" s="61"/>
      <c r="I62" s="61"/>
      <c r="J62" s="61"/>
      <c r="K62" s="61"/>
      <c r="L62" s="61"/>
      <c r="M62" s="61"/>
      <c r="N62" s="63"/>
      <c r="O62" s="61"/>
      <c r="P62" s="56"/>
      <c r="Q62" s="57" t="s">
        <v>82</v>
      </c>
      <c r="R62" s="57"/>
      <c r="S62" s="57"/>
      <c r="T62" s="64" t="n">
        <f aca="false">ROUND((T61*12),2)</f>
        <v>6956803.32</v>
      </c>
      <c r="U62" s="65"/>
      <c r="V62" s="66"/>
    </row>
    <row r="63" customFormat="false" ht="36" hidden="false" customHeight="true" outlineLevel="0" collapsed="false">
      <c r="T63" s="67"/>
      <c r="U63" s="39"/>
    </row>
    <row r="64" customFormat="false" ht="15" hidden="false" customHeight="false" outlineLevel="0" collapsed="false">
      <c r="E64" s="68"/>
      <c r="F64" s="68"/>
      <c r="G64" s="68"/>
      <c r="H64" s="68"/>
      <c r="I64" s="68"/>
      <c r="J64" s="68"/>
      <c r="K64" s="68"/>
      <c r="O64" s="69"/>
      <c r="P64" s="69"/>
    </row>
    <row r="65" customFormat="false" ht="15" hidden="true" customHeight="false" outlineLevel="0" collapsed="false">
      <c r="B65" s="70" t="s">
        <v>83</v>
      </c>
      <c r="C65" s="70"/>
      <c r="D65" s="70"/>
      <c r="E65" s="71"/>
      <c r="F65" s="71"/>
      <c r="G65" s="71"/>
      <c r="H65" s="71"/>
      <c r="I65" s="71"/>
      <c r="J65" s="71"/>
      <c r="K65" s="16"/>
      <c r="L65" s="16"/>
      <c r="M65" s="16"/>
      <c r="N65" s="16"/>
      <c r="O65" s="16"/>
    </row>
    <row r="66" s="35" customFormat="true" ht="15" hidden="true" customHeight="false" outlineLevel="0" collapsed="false">
      <c r="B66" s="72"/>
      <c r="C66" s="72"/>
      <c r="D66" s="72"/>
      <c r="E66" s="73"/>
      <c r="F66" s="73"/>
      <c r="G66" s="73"/>
      <c r="H66" s="73"/>
      <c r="I66" s="73"/>
      <c r="J66" s="73"/>
      <c r="K66" s="74"/>
      <c r="L66" s="75"/>
      <c r="M66" s="75"/>
      <c r="N66" s="75"/>
      <c r="O66" s="75"/>
      <c r="U66" s="1"/>
      <c r="V66" s="1"/>
      <c r="W66" s="1"/>
      <c r="X66" s="1"/>
      <c r="Y66" s="1"/>
      <c r="Z66" s="1"/>
      <c r="AA66" s="1"/>
      <c r="AB66" s="1"/>
      <c r="AMD66" s="76"/>
      <c r="AME66" s="76"/>
      <c r="AMF66" s="76"/>
      <c r="AMG66" s="76"/>
      <c r="AMH66" s="76"/>
      <c r="AMI66" s="76"/>
      <c r="AMJ66" s="76"/>
    </row>
    <row r="67" customFormat="false" ht="15" hidden="true" customHeight="false" outlineLevel="0" collapsed="false">
      <c r="B67" s="70"/>
      <c r="C67" s="70"/>
      <c r="D67" s="70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</row>
    <row r="68" customFormat="false" ht="15" hidden="true" customHeight="false" outlineLevel="0" collapsed="false">
      <c r="B68" s="70"/>
      <c r="C68" s="70"/>
      <c r="D68" s="70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</row>
    <row r="69" customFormat="false" ht="15" hidden="false" customHeight="false" outlineLevel="0" collapsed="false">
      <c r="B69" s="70"/>
      <c r="C69" s="70"/>
      <c r="D69" s="70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77"/>
      <c r="P69" s="77"/>
    </row>
    <row r="70" s="1" customFormat="true" ht="15" hidden="false" customHeight="false" outlineLevel="0" collapsed="false">
      <c r="B70" s="70"/>
      <c r="C70" s="70"/>
      <c r="D70" s="70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</row>
    <row r="72" s="1" customFormat="true" ht="15" hidden="false" customHeight="false" outlineLevel="0" collapsed="false"/>
  </sheetData>
  <mergeCells count="7">
    <mergeCell ref="A1:T1"/>
    <mergeCell ref="A2:B2"/>
    <mergeCell ref="E2:H2"/>
    <mergeCell ref="I2:J2"/>
    <mergeCell ref="L2:O2"/>
    <mergeCell ref="P2:R2"/>
    <mergeCell ref="P61:P6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3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2" man="true" max="65535" min="0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N159"/>
  <sheetViews>
    <sheetView showFormulas="false" showGridLines="true" showRowColHeaders="true" showZeros="true" rightToLeft="false" tabSelected="false" showOutlineSymbols="true" defaultGridColor="true" view="pageBreakPreview" topLeftCell="A19" colorId="64" zoomScale="85" zoomScaleNormal="100" zoomScalePageLayoutView="85" workbookViewId="0">
      <selection pane="topLeft" activeCell="C33" activeCellId="0" sqref="C33"/>
    </sheetView>
  </sheetViews>
  <sheetFormatPr defaultColWidth="9.15625" defaultRowHeight="15" zeroHeight="false" outlineLevelRow="0" outlineLevelCol="0"/>
  <cols>
    <col collapsed="false" customWidth="true" hidden="false" outlineLevel="0" max="1" min="1" style="371" width="59.29"/>
    <col collapsed="false" customWidth="true" hidden="false" outlineLevel="0" max="7" min="2" style="371" width="18.71"/>
    <col collapsed="false" customWidth="false" hidden="false" outlineLevel="0" max="8" min="8" style="371" width="9.14"/>
    <col collapsed="false" customWidth="true" hidden="false" outlineLevel="0" max="11" min="9" style="371" width="11.57"/>
    <col collapsed="false" customWidth="true" hidden="false" outlineLevel="0" max="12" min="12" style="371" width="12.57"/>
    <col collapsed="false" customWidth="true" hidden="false" outlineLevel="0" max="13" min="13" style="371" width="15.29"/>
    <col collapsed="false" customWidth="false" hidden="false" outlineLevel="0" max="1024" min="14" style="371" width="9.14"/>
  </cols>
  <sheetData>
    <row r="1" customFormat="false" ht="18.75" hidden="false" customHeight="false" outlineLevel="0" collapsed="false">
      <c r="A1" s="372" t="s">
        <v>819</v>
      </c>
      <c r="B1" s="372"/>
      <c r="C1" s="372"/>
      <c r="D1" s="372"/>
      <c r="E1" s="372"/>
      <c r="F1" s="372"/>
      <c r="G1" s="372"/>
    </row>
    <row r="2" customFormat="false" ht="15" hidden="false" customHeight="false" outlineLevel="0" collapsed="false">
      <c r="A2" s="373" t="s">
        <v>820</v>
      </c>
      <c r="B2" s="373"/>
      <c r="C2" s="373"/>
      <c r="D2" s="373"/>
      <c r="E2" s="373"/>
      <c r="F2" s="373"/>
      <c r="G2" s="373"/>
    </row>
    <row r="3" customFormat="false" ht="15" hidden="false" customHeight="false" outlineLevel="0" collapsed="false">
      <c r="A3" s="373" t="s">
        <v>821</v>
      </c>
      <c r="B3" s="373"/>
      <c r="C3" s="373"/>
      <c r="D3" s="373"/>
      <c r="E3" s="373"/>
      <c r="F3" s="373"/>
      <c r="G3" s="373"/>
    </row>
    <row r="4" customFormat="false" ht="15" hidden="false" customHeight="true" outlineLevel="0" collapsed="false">
      <c r="A4" s="374" t="s">
        <v>596</v>
      </c>
      <c r="B4" s="374"/>
      <c r="C4" s="375" t="e">
        <f aca="false">#REF!</f>
        <v>#REF!</v>
      </c>
      <c r="D4" s="376" t="e">
        <f aca="false">#REF!</f>
        <v>#REF!</v>
      </c>
      <c r="E4" s="376" t="e">
        <f aca="false">#REF!</f>
        <v>#REF!</v>
      </c>
      <c r="F4" s="377" t="e">
        <f aca="false">#REF!</f>
        <v>#REF!</v>
      </c>
      <c r="G4" s="378" t="e">
        <f aca="false">#REF!</f>
        <v>#REF!</v>
      </c>
    </row>
    <row r="5" customFormat="false" ht="15" hidden="false" customHeight="true" outlineLevel="0" collapsed="false">
      <c r="A5" s="379" t="s">
        <v>597</v>
      </c>
      <c r="B5" s="379"/>
      <c r="C5" s="380" t="e">
        <f aca="false">#REF!</f>
        <v>#REF!</v>
      </c>
      <c r="D5" s="381" t="e">
        <f aca="false">#REF!</f>
        <v>#REF!</v>
      </c>
      <c r="E5" s="381" t="e">
        <f aca="false">#REF!</f>
        <v>#REF!</v>
      </c>
      <c r="F5" s="382" t="e">
        <f aca="false">#REF!</f>
        <v>#REF!</v>
      </c>
      <c r="G5" s="383" t="e">
        <f aca="false">#REF!</f>
        <v>#REF!</v>
      </c>
    </row>
    <row r="6" customFormat="false" ht="54.75" hidden="false" customHeight="true" outlineLevel="0" collapsed="false">
      <c r="A6" s="384" t="s">
        <v>598</v>
      </c>
      <c r="B6" s="384"/>
      <c r="C6" s="385" t="s">
        <v>822</v>
      </c>
      <c r="D6" s="385" t="s">
        <v>822</v>
      </c>
      <c r="E6" s="385" t="s">
        <v>822</v>
      </c>
      <c r="F6" s="385" t="s">
        <v>822</v>
      </c>
      <c r="G6" s="385" t="s">
        <v>822</v>
      </c>
    </row>
    <row r="7" customFormat="false" ht="15" hidden="false" customHeight="true" outlineLevel="0" collapsed="false">
      <c r="A7" s="386" t="s">
        <v>599</v>
      </c>
      <c r="B7" s="386"/>
      <c r="C7" s="387" t="s">
        <v>715</v>
      </c>
      <c r="D7" s="388" t="s">
        <v>715</v>
      </c>
      <c r="E7" s="388" t="s">
        <v>715</v>
      </c>
      <c r="F7" s="388" t="s">
        <v>715</v>
      </c>
      <c r="G7" s="389" t="s">
        <v>715</v>
      </c>
    </row>
    <row r="8" customFormat="false" ht="3.75" hidden="false" customHeight="true" outlineLevel="0" collapsed="false">
      <c r="A8" s="390"/>
      <c r="G8" s="391"/>
    </row>
    <row r="9" customFormat="false" ht="47.25" hidden="false" customHeight="true" outlineLevel="0" collapsed="false">
      <c r="A9" s="392" t="s">
        <v>601</v>
      </c>
      <c r="B9" s="393" t="s">
        <v>602</v>
      </c>
      <c r="C9" s="393" t="s">
        <v>823</v>
      </c>
      <c r="D9" s="393" t="s">
        <v>824</v>
      </c>
      <c r="E9" s="393" t="s">
        <v>825</v>
      </c>
      <c r="F9" s="393" t="s">
        <v>826</v>
      </c>
      <c r="G9" s="394" t="s">
        <v>827</v>
      </c>
    </row>
    <row r="10" customFormat="false" ht="15" hidden="false" customHeight="false" outlineLevel="0" collapsed="false">
      <c r="A10" s="395" t="s">
        <v>607</v>
      </c>
      <c r="B10" s="395"/>
      <c r="C10" s="395"/>
      <c r="D10" s="395"/>
      <c r="E10" s="395"/>
      <c r="F10" s="395"/>
      <c r="G10" s="395"/>
    </row>
    <row r="11" customFormat="false" ht="15" hidden="false" customHeight="false" outlineLevel="0" collapsed="false">
      <c r="A11" s="396" t="s">
        <v>608</v>
      </c>
      <c r="B11" s="397" t="s">
        <v>609</v>
      </c>
      <c r="C11" s="397" t="s">
        <v>610</v>
      </c>
      <c r="D11" s="397" t="s">
        <v>610</v>
      </c>
      <c r="E11" s="397" t="s">
        <v>610</v>
      </c>
      <c r="F11" s="397" t="s">
        <v>610</v>
      </c>
      <c r="G11" s="398" t="s">
        <v>610</v>
      </c>
    </row>
    <row r="12" customFormat="false" ht="15" hidden="false" customHeight="false" outlineLevel="0" collapsed="false">
      <c r="A12" s="399" t="s">
        <v>828</v>
      </c>
      <c r="B12" s="400"/>
      <c r="C12" s="401" t="e">
        <f aca="false">C4</f>
        <v>#REF!</v>
      </c>
      <c r="D12" s="401" t="e">
        <f aca="false">D4</f>
        <v>#REF!</v>
      </c>
      <c r="E12" s="401" t="e">
        <f aca="false">E4</f>
        <v>#REF!</v>
      </c>
      <c r="F12" s="402" t="e">
        <f aca="false">F4*2</f>
        <v>#REF!</v>
      </c>
      <c r="G12" s="403" t="e">
        <f aca="false">G4*2</f>
        <v>#REF!</v>
      </c>
    </row>
    <row r="13" customFormat="false" ht="15" hidden="false" customHeight="false" outlineLevel="0" collapsed="false">
      <c r="A13" s="399" t="s">
        <v>612</v>
      </c>
      <c r="B13" s="400" t="n">
        <v>0.3</v>
      </c>
      <c r="C13" s="401" t="e">
        <f aca="false">C12*B13</f>
        <v>#REF!</v>
      </c>
      <c r="D13" s="401" t="e">
        <f aca="false">D12*B13</f>
        <v>#REF!</v>
      </c>
      <c r="E13" s="401" t="e">
        <f aca="false">E12*B13</f>
        <v>#REF!</v>
      </c>
      <c r="F13" s="402" t="e">
        <f aca="false">F12*B13</f>
        <v>#REF!</v>
      </c>
      <c r="G13" s="403" t="e">
        <f aca="false">G12*B13</f>
        <v>#REF!</v>
      </c>
    </row>
    <row r="14" customFormat="false" ht="15" hidden="false" customHeight="false" outlineLevel="0" collapsed="false">
      <c r="A14" s="399" t="s">
        <v>829</v>
      </c>
      <c r="B14" s="400"/>
      <c r="C14" s="401"/>
      <c r="D14" s="401"/>
      <c r="E14" s="401"/>
      <c r="F14" s="402"/>
      <c r="G14" s="403"/>
    </row>
    <row r="15" customFormat="false" ht="15" hidden="false" customHeight="false" outlineLevel="0" collapsed="false">
      <c r="A15" s="399" t="s">
        <v>830</v>
      </c>
      <c r="B15" s="400" t="n">
        <v>0.2</v>
      </c>
      <c r="C15" s="401"/>
      <c r="D15" s="401"/>
      <c r="E15" s="401" t="e">
        <f aca="false">E4*1.3/220*0.2*21*7</f>
        <v>#REF!</v>
      </c>
      <c r="F15" s="402"/>
      <c r="G15" s="403" t="e">
        <f aca="false">G4*1.3/220*0.2*15*8*2</f>
        <v>#REF!</v>
      </c>
    </row>
    <row r="16" customFormat="false" ht="15" hidden="false" customHeight="false" outlineLevel="0" collapsed="false">
      <c r="A16" s="399" t="s">
        <v>831</v>
      </c>
      <c r="B16" s="400"/>
      <c r="C16" s="401"/>
      <c r="D16" s="401"/>
      <c r="E16" s="401" t="e">
        <f aca="false">E4/220*1.3*1.2*4.2</f>
        <v>#REF!</v>
      </c>
      <c r="F16" s="402"/>
      <c r="G16" s="401" t="e">
        <f aca="false">G4/220*1.3*1.2*4.33*2</f>
        <v>#REF!</v>
      </c>
    </row>
    <row r="17" customFormat="false" ht="15" hidden="false" customHeight="false" outlineLevel="0" collapsed="false">
      <c r="A17" s="399" t="s">
        <v>832</v>
      </c>
      <c r="C17" s="404" t="n">
        <f aca="false">(C15+C16)*20%</f>
        <v>0</v>
      </c>
      <c r="D17" s="404" t="n">
        <f aca="false">(D15+D16)*20%</f>
        <v>0</v>
      </c>
      <c r="E17" s="404" t="e">
        <f aca="false">(E15+E16)*20%</f>
        <v>#REF!</v>
      </c>
      <c r="F17" s="404" t="n">
        <f aca="false">(F15+F16)*20%</f>
        <v>0</v>
      </c>
      <c r="G17" s="404" t="e">
        <f aca="false">(G15+G16)*20%</f>
        <v>#REF!</v>
      </c>
    </row>
    <row r="18" customFormat="false" ht="15" hidden="false" customHeight="false" outlineLevel="0" collapsed="false">
      <c r="A18" s="399" t="s">
        <v>833</v>
      </c>
      <c r="B18" s="400"/>
      <c r="C18" s="401" t="e">
        <f aca="false">C12/150/6*22</f>
        <v>#REF!</v>
      </c>
      <c r="D18" s="401" t="e">
        <f aca="false">D12/220/6*22</f>
        <v>#REF!</v>
      </c>
      <c r="E18" s="401" t="e">
        <f aca="false">E12/220/6*22</f>
        <v>#REF!</v>
      </c>
      <c r="F18" s="402" t="e">
        <f aca="false">F12/220/6*15</f>
        <v>#REF!</v>
      </c>
      <c r="G18" s="403" t="e">
        <f aca="false">G12/220/6*15</f>
        <v>#REF!</v>
      </c>
    </row>
    <row r="19" customFormat="false" ht="15" hidden="false" customHeight="false" outlineLevel="0" collapsed="false">
      <c r="A19" s="405" t="s">
        <v>7</v>
      </c>
      <c r="B19" s="406"/>
      <c r="C19" s="407" t="e">
        <f aca="false">SUM(C12:C18)</f>
        <v>#REF!</v>
      </c>
      <c r="D19" s="407" t="e">
        <f aca="false">SUM(D12:D18)</f>
        <v>#REF!</v>
      </c>
      <c r="E19" s="407" t="e">
        <f aca="false">SUM(E12:E18)</f>
        <v>#REF!</v>
      </c>
      <c r="F19" s="407" t="e">
        <f aca="false">SUM(F12:F18)</f>
        <v>#REF!</v>
      </c>
      <c r="G19" s="408" t="e">
        <f aca="false">SUM(G12:G18)</f>
        <v>#REF!</v>
      </c>
    </row>
    <row r="20" customFormat="false" ht="4.5" hidden="false" customHeight="true" outlineLevel="0" collapsed="false">
      <c r="A20" s="399"/>
      <c r="B20" s="409"/>
      <c r="C20" s="409"/>
      <c r="D20" s="409"/>
      <c r="E20" s="409"/>
      <c r="F20" s="410"/>
      <c r="G20" s="411"/>
    </row>
    <row r="21" customFormat="false" ht="15" hidden="false" customHeight="false" outlineLevel="0" collapsed="false">
      <c r="A21" s="412" t="s">
        <v>618</v>
      </c>
      <c r="B21" s="412"/>
      <c r="C21" s="412"/>
      <c r="D21" s="412"/>
      <c r="E21" s="412"/>
      <c r="F21" s="412"/>
      <c r="G21" s="412"/>
    </row>
    <row r="22" customFormat="false" ht="15" hidden="false" customHeight="false" outlineLevel="0" collapsed="false">
      <c r="A22" s="396" t="s">
        <v>619</v>
      </c>
      <c r="B22" s="397" t="s">
        <v>609</v>
      </c>
      <c r="C22" s="397" t="s">
        <v>610</v>
      </c>
      <c r="D22" s="397" t="s">
        <v>610</v>
      </c>
      <c r="E22" s="397" t="s">
        <v>610</v>
      </c>
      <c r="F22" s="397" t="s">
        <v>610</v>
      </c>
      <c r="G22" s="398" t="s">
        <v>610</v>
      </c>
    </row>
    <row r="23" customFormat="false" ht="15" hidden="false" customHeight="false" outlineLevel="0" collapsed="false">
      <c r="A23" s="399" t="s">
        <v>620</v>
      </c>
      <c r="B23" s="413" t="n">
        <f aca="false">1/12</f>
        <v>0.0833333333333333</v>
      </c>
      <c r="C23" s="401" t="e">
        <f aca="false">ROUND(C$19*$B23,2)</f>
        <v>#REF!</v>
      </c>
      <c r="D23" s="401" t="e">
        <f aca="false">ROUND(D$19*$B23,2)</f>
        <v>#REF!</v>
      </c>
      <c r="E23" s="401" t="e">
        <f aca="false">ROUND(E$19*$B23,2)</f>
        <v>#REF!</v>
      </c>
      <c r="F23" s="401" t="e">
        <f aca="false">ROUND(F$19*$B23,2)</f>
        <v>#REF!</v>
      </c>
      <c r="G23" s="403" t="e">
        <f aca="false">ROUND(G$19*$B23,2)</f>
        <v>#REF!</v>
      </c>
    </row>
    <row r="24" customFormat="false" ht="15" hidden="false" customHeight="false" outlineLevel="0" collapsed="false">
      <c r="A24" s="399" t="s">
        <v>834</v>
      </c>
      <c r="B24" s="413" t="n">
        <v>0</v>
      </c>
      <c r="C24" s="401" t="e">
        <f aca="false">ROUND(C$19*$B24,2)</f>
        <v>#REF!</v>
      </c>
      <c r="D24" s="401" t="e">
        <f aca="false">ROUND(D$19*$B24,2)</f>
        <v>#REF!</v>
      </c>
      <c r="E24" s="401" t="e">
        <f aca="false">ROUND(E$19*$B24,2)</f>
        <v>#REF!</v>
      </c>
      <c r="F24" s="401" t="e">
        <f aca="false">ROUND(F$19*$B24,2)</f>
        <v>#REF!</v>
      </c>
      <c r="G24" s="403" t="e">
        <f aca="false">ROUND(G$19*$B24,2)</f>
        <v>#REF!</v>
      </c>
    </row>
    <row r="25" customFormat="false" ht="15" hidden="false" customHeight="false" outlineLevel="0" collapsed="false">
      <c r="A25" s="399" t="s">
        <v>835</v>
      </c>
      <c r="B25" s="413" t="n">
        <f aca="false">1/12/3</f>
        <v>0.0277777777777778</v>
      </c>
      <c r="C25" s="401" t="e">
        <f aca="false">ROUND(C$19*$B25,2)</f>
        <v>#REF!</v>
      </c>
      <c r="D25" s="401" t="e">
        <f aca="false">ROUND(D$19*$B25,2)</f>
        <v>#REF!</v>
      </c>
      <c r="E25" s="401" t="e">
        <f aca="false">ROUND(E$19*$B25,2)</f>
        <v>#REF!</v>
      </c>
      <c r="F25" s="401" t="e">
        <f aca="false">ROUND(F$19*$B25,2)</f>
        <v>#REF!</v>
      </c>
      <c r="G25" s="403" t="e">
        <f aca="false">ROUND(G$19*$B25,2)</f>
        <v>#REF!</v>
      </c>
    </row>
    <row r="26" customFormat="false" ht="15" hidden="false" customHeight="false" outlineLevel="0" collapsed="false">
      <c r="A26" s="405" t="s">
        <v>7</v>
      </c>
      <c r="B26" s="414" t="n">
        <f aca="false">SUM(B23:B25)</f>
        <v>0.111111111111111</v>
      </c>
      <c r="C26" s="407" t="e">
        <f aca="false">SUM(C23:C25)</f>
        <v>#REF!</v>
      </c>
      <c r="D26" s="407" t="e">
        <f aca="false">SUM(D23:D25)</f>
        <v>#REF!</v>
      </c>
      <c r="E26" s="407" t="e">
        <f aca="false">SUM(E23:E25)</f>
        <v>#REF!</v>
      </c>
      <c r="F26" s="407" t="e">
        <f aca="false">SUM(F23:F25)</f>
        <v>#REF!</v>
      </c>
      <c r="G26" s="408" t="e">
        <f aca="false">SUM(G23:G25)</f>
        <v>#REF!</v>
      </c>
      <c r="I26" s="415"/>
      <c r="J26" s="415"/>
      <c r="K26" s="415"/>
      <c r="L26" s="415"/>
      <c r="M26" s="415"/>
    </row>
    <row r="27" customFormat="false" ht="15" hidden="false" customHeight="false" outlineLevel="0" collapsed="false">
      <c r="A27" s="396" t="s">
        <v>622</v>
      </c>
      <c r="B27" s="397" t="s">
        <v>609</v>
      </c>
      <c r="C27" s="397" t="s">
        <v>610</v>
      </c>
      <c r="D27" s="397" t="s">
        <v>610</v>
      </c>
      <c r="E27" s="397" t="s">
        <v>610</v>
      </c>
      <c r="F27" s="397" t="s">
        <v>610</v>
      </c>
      <c r="G27" s="398" t="s">
        <v>610</v>
      </c>
      <c r="I27" s="416"/>
      <c r="J27" s="416"/>
      <c r="K27" s="416"/>
      <c r="L27" s="416"/>
      <c r="M27" s="416"/>
    </row>
    <row r="28" customFormat="false" ht="15" hidden="false" customHeight="false" outlineLevel="0" collapsed="false">
      <c r="A28" s="396" t="s">
        <v>623</v>
      </c>
      <c r="B28" s="397"/>
      <c r="C28" s="397"/>
      <c r="D28" s="397"/>
      <c r="E28" s="397"/>
      <c r="F28" s="417"/>
      <c r="G28" s="398"/>
      <c r="I28" s="416"/>
      <c r="J28" s="416"/>
      <c r="K28" s="416"/>
      <c r="L28" s="416"/>
      <c r="M28" s="416"/>
    </row>
    <row r="29" customFormat="false" ht="15" hidden="false" customHeight="false" outlineLevel="0" collapsed="false">
      <c r="A29" s="399" t="s">
        <v>624</v>
      </c>
      <c r="B29" s="400" t="n">
        <v>0.2</v>
      </c>
      <c r="C29" s="401" t="e">
        <f aca="false">ROUND((C$19+C$26)*$B29,2)</f>
        <v>#REF!</v>
      </c>
      <c r="D29" s="401" t="e">
        <f aca="false">ROUND((D$19+D$26)*$B29,2)</f>
        <v>#REF!</v>
      </c>
      <c r="E29" s="401" t="e">
        <f aca="false">ROUND((E$19+E$26)*$B29,2)</f>
        <v>#REF!</v>
      </c>
      <c r="F29" s="401" t="e">
        <f aca="false">ROUND((F$19+F$26)*$B29,2)</f>
        <v>#REF!</v>
      </c>
      <c r="G29" s="403" t="e">
        <f aca="false">ROUND((G$19+G$26)*$B29,2)</f>
        <v>#REF!</v>
      </c>
      <c r="I29" s="416"/>
      <c r="J29" s="416"/>
      <c r="K29" s="416"/>
      <c r="L29" s="416"/>
      <c r="M29" s="416"/>
    </row>
    <row r="30" customFormat="false" ht="15" hidden="false" customHeight="false" outlineLevel="0" collapsed="false">
      <c r="A30" s="399" t="s">
        <v>625</v>
      </c>
      <c r="B30" s="413" t="n">
        <v>0.025</v>
      </c>
      <c r="C30" s="401" t="e">
        <f aca="false">ROUND((C$19+C$26)*$B30,2)</f>
        <v>#REF!</v>
      </c>
      <c r="D30" s="401" t="e">
        <f aca="false">ROUND((D$19+D$26)*$B30,2)</f>
        <v>#REF!</v>
      </c>
      <c r="E30" s="401" t="e">
        <f aca="false">ROUND((E$19+E$26)*$B30,2)</f>
        <v>#REF!</v>
      </c>
      <c r="F30" s="401" t="e">
        <f aca="false">ROUND((F$19+F$26)*$B30,2)</f>
        <v>#REF!</v>
      </c>
      <c r="G30" s="403" t="e">
        <f aca="false">ROUND((G$19+G$26)*$B30,2)</f>
        <v>#REF!</v>
      </c>
      <c r="I30" s="416"/>
      <c r="J30" s="416"/>
      <c r="K30" s="416"/>
      <c r="L30" s="416"/>
      <c r="M30" s="416"/>
    </row>
    <row r="31" customFormat="false" ht="15" hidden="false" customHeight="false" outlineLevel="0" collapsed="false">
      <c r="A31" s="399" t="s">
        <v>626</v>
      </c>
      <c r="B31" s="418" t="n">
        <f aca="false">3%*1.2469</f>
        <v>0.037407</v>
      </c>
      <c r="C31" s="401" t="e">
        <f aca="false">ROUND((C$19+C$26)*$B31,2)</f>
        <v>#REF!</v>
      </c>
      <c r="D31" s="401" t="e">
        <f aca="false">ROUND((D$19+D$26)*$B31,2)</f>
        <v>#REF!</v>
      </c>
      <c r="E31" s="401" t="e">
        <f aca="false">ROUND((E$19+E$26)*$B31,2)</f>
        <v>#REF!</v>
      </c>
      <c r="F31" s="401" t="e">
        <f aca="false">ROUND((F$19+F$26)*$B31,2)</f>
        <v>#REF!</v>
      </c>
      <c r="G31" s="403" t="e">
        <f aca="false">ROUND((G$19+G$26)*$B31,2)</f>
        <v>#REF!</v>
      </c>
      <c r="I31" s="416"/>
      <c r="J31" s="416"/>
      <c r="K31" s="416"/>
      <c r="L31" s="416"/>
      <c r="M31" s="416"/>
    </row>
    <row r="32" customFormat="false" ht="15" hidden="false" customHeight="false" outlineLevel="0" collapsed="false">
      <c r="A32" s="399" t="s">
        <v>627</v>
      </c>
      <c r="B32" s="413" t="n">
        <v>0.015</v>
      </c>
      <c r="C32" s="401" t="e">
        <f aca="false">ROUND((C$19+C$26)*$B32,2)</f>
        <v>#REF!</v>
      </c>
      <c r="D32" s="401" t="e">
        <f aca="false">ROUND((D$19+D$26)*$B32,2)</f>
        <v>#REF!</v>
      </c>
      <c r="E32" s="401" t="e">
        <f aca="false">ROUND((E$19+E$26)*$B32,2)</f>
        <v>#REF!</v>
      </c>
      <c r="F32" s="401" t="e">
        <f aca="false">ROUND((F$19+F$26)*$B32,2)</f>
        <v>#REF!</v>
      </c>
      <c r="G32" s="403" t="e">
        <f aca="false">ROUND((G$19+G$26)*$B32,2)</f>
        <v>#REF!</v>
      </c>
      <c r="I32" s="416"/>
      <c r="J32" s="416"/>
      <c r="K32" s="416"/>
      <c r="L32" s="416"/>
      <c r="M32" s="416"/>
    </row>
    <row r="33" customFormat="false" ht="15" hidden="false" customHeight="false" outlineLevel="0" collapsed="false">
      <c r="A33" s="399" t="s">
        <v>628</v>
      </c>
      <c r="B33" s="413" t="n">
        <v>0.01</v>
      </c>
      <c r="C33" s="401" t="e">
        <f aca="false">ROUND((C$19+C$26)*$B33,2)</f>
        <v>#REF!</v>
      </c>
      <c r="D33" s="401" t="e">
        <f aca="false">ROUND((D$19+D$26)*$B33,2)</f>
        <v>#REF!</v>
      </c>
      <c r="E33" s="401" t="e">
        <f aca="false">ROUND((E$19+E$26)*$B33,2)</f>
        <v>#REF!</v>
      </c>
      <c r="F33" s="401" t="e">
        <f aca="false">ROUND((F$19+F$26)*$B33,2)</f>
        <v>#REF!</v>
      </c>
      <c r="G33" s="403" t="e">
        <f aca="false">ROUND((G$19+G$26)*$B33,2)</f>
        <v>#REF!</v>
      </c>
      <c r="I33" s="416"/>
      <c r="J33" s="416"/>
      <c r="K33" s="416"/>
      <c r="L33" s="416"/>
      <c r="M33" s="416"/>
    </row>
    <row r="34" customFormat="false" ht="15" hidden="false" customHeight="false" outlineLevel="0" collapsed="false">
      <c r="A34" s="399" t="s">
        <v>629</v>
      </c>
      <c r="B34" s="413" t="n">
        <v>0.006</v>
      </c>
      <c r="C34" s="401" t="e">
        <f aca="false">ROUND((C$19+C$26)*$B34,2)</f>
        <v>#REF!</v>
      </c>
      <c r="D34" s="401" t="e">
        <f aca="false">ROUND((D$19+D$26)*$B34,2)</f>
        <v>#REF!</v>
      </c>
      <c r="E34" s="401" t="e">
        <f aca="false">ROUND((E$19+E$26)*$B34,2)</f>
        <v>#REF!</v>
      </c>
      <c r="F34" s="401" t="e">
        <f aca="false">ROUND((F$19+F$26)*$B34,2)</f>
        <v>#REF!</v>
      </c>
      <c r="G34" s="403" t="e">
        <f aca="false">ROUND((G$19+G$26)*$B34,2)</f>
        <v>#REF!</v>
      </c>
      <c r="I34" s="416"/>
      <c r="J34" s="416"/>
      <c r="K34" s="416"/>
      <c r="L34" s="416"/>
      <c r="M34" s="416"/>
    </row>
    <row r="35" customFormat="false" ht="15" hidden="false" customHeight="false" outlineLevel="0" collapsed="false">
      <c r="A35" s="399" t="s">
        <v>630</v>
      </c>
      <c r="B35" s="413" t="n">
        <v>0.002</v>
      </c>
      <c r="C35" s="401" t="e">
        <f aca="false">ROUND((C$19+C$26)*$B35,2)</f>
        <v>#REF!</v>
      </c>
      <c r="D35" s="401" t="e">
        <f aca="false">ROUND((D$19+D$26)*$B35,2)</f>
        <v>#REF!</v>
      </c>
      <c r="E35" s="401" t="e">
        <f aca="false">ROUND((E$19+E$26)*$B35,2)</f>
        <v>#REF!</v>
      </c>
      <c r="F35" s="401" t="e">
        <f aca="false">ROUND((F$19+F$26)*$B35,2)</f>
        <v>#REF!</v>
      </c>
      <c r="G35" s="403" t="e">
        <f aca="false">ROUND((G$19+G$26)*$B35,2)</f>
        <v>#REF!</v>
      </c>
      <c r="I35" s="416"/>
      <c r="J35" s="416"/>
      <c r="K35" s="416"/>
      <c r="L35" s="416"/>
      <c r="M35" s="416"/>
    </row>
    <row r="36" customFormat="false" ht="15" hidden="false" customHeight="false" outlineLevel="0" collapsed="false">
      <c r="A36" s="396" t="s">
        <v>836</v>
      </c>
      <c r="B36" s="397"/>
      <c r="C36" s="419"/>
      <c r="D36" s="419"/>
      <c r="E36" s="419"/>
      <c r="F36" s="420"/>
      <c r="G36" s="421"/>
      <c r="I36" s="416"/>
      <c r="J36" s="416"/>
      <c r="K36" s="416"/>
      <c r="L36" s="416"/>
      <c r="M36" s="416"/>
    </row>
    <row r="37" customFormat="false" ht="15" hidden="false" customHeight="false" outlineLevel="0" collapsed="false">
      <c r="A37" s="399" t="s">
        <v>837</v>
      </c>
      <c r="B37" s="413" t="n">
        <v>0.08</v>
      </c>
      <c r="C37" s="401" t="e">
        <f aca="false">ROUND((C$19+C$26)*$B37,2)</f>
        <v>#REF!</v>
      </c>
      <c r="D37" s="401" t="e">
        <f aca="false">ROUND((D$19+D$26)*$B37,2)</f>
        <v>#REF!</v>
      </c>
      <c r="E37" s="401" t="e">
        <f aca="false">ROUND((E$19+E$26)*$B37,2)</f>
        <v>#REF!</v>
      </c>
      <c r="F37" s="401" t="e">
        <f aca="false">ROUND((F$19+F$26)*$B37,2)</f>
        <v>#REF!</v>
      </c>
      <c r="G37" s="403" t="e">
        <f aca="false">ROUND((G$19+G$26)*$B37,2)</f>
        <v>#REF!</v>
      </c>
      <c r="I37" s="416"/>
      <c r="J37" s="416"/>
      <c r="K37" s="416"/>
      <c r="L37" s="416"/>
      <c r="M37" s="416"/>
    </row>
    <row r="38" customFormat="false" ht="15" hidden="false" customHeight="false" outlineLevel="0" collapsed="false">
      <c r="A38" s="405" t="s">
        <v>7</v>
      </c>
      <c r="B38" s="414" t="n">
        <f aca="false">SUM(B29:B37)</f>
        <v>0.375407</v>
      </c>
      <c r="C38" s="407" t="e">
        <f aca="false">SUM(C29:C37)</f>
        <v>#REF!</v>
      </c>
      <c r="D38" s="407" t="e">
        <f aca="false">SUM(D29:D37)</f>
        <v>#REF!</v>
      </c>
      <c r="E38" s="407" t="e">
        <f aca="false">SUM(E29:E37)</f>
        <v>#REF!</v>
      </c>
      <c r="F38" s="407" t="e">
        <f aca="false">SUM(F29:F37)</f>
        <v>#REF!</v>
      </c>
      <c r="G38" s="408" t="e">
        <f aca="false">SUM(G29:G37)</f>
        <v>#REF!</v>
      </c>
      <c r="I38" s="415"/>
      <c r="J38" s="415"/>
      <c r="K38" s="415"/>
      <c r="L38" s="415"/>
      <c r="M38" s="415"/>
    </row>
    <row r="39" customFormat="false" ht="15" hidden="false" customHeight="false" outlineLevel="0" collapsed="false">
      <c r="A39" s="396" t="s">
        <v>632</v>
      </c>
      <c r="B39" s="397" t="s">
        <v>610</v>
      </c>
      <c r="C39" s="397" t="s">
        <v>610</v>
      </c>
      <c r="D39" s="397" t="s">
        <v>610</v>
      </c>
      <c r="E39" s="397" t="s">
        <v>610</v>
      </c>
      <c r="F39" s="397" t="s">
        <v>610</v>
      </c>
      <c r="G39" s="398" t="s">
        <v>610</v>
      </c>
      <c r="I39" s="416"/>
      <c r="J39" s="416"/>
      <c r="K39" s="416"/>
      <c r="L39" s="416"/>
      <c r="M39" s="416"/>
    </row>
    <row r="40" customFormat="false" ht="15" hidden="false" customHeight="false" outlineLevel="0" collapsed="false">
      <c r="A40" s="399" t="s">
        <v>838</v>
      </c>
      <c r="B40" s="422" t="e">
        <f aca="false">vt!#ref!*0.7</f>
        <v>#NAME?</v>
      </c>
      <c r="C40" s="401" t="e">
        <f aca="false">ROUND(((2*22*$B$40)-0.06*C4),2)</f>
        <v>#NAME?</v>
      </c>
      <c r="D40" s="401" t="e">
        <f aca="false">ROUND(((2*22*$B$40)-0.06*D4),2)</f>
        <v>#NAME?</v>
      </c>
      <c r="E40" s="401" t="e">
        <f aca="false">ROUND(((2*22*$B$40)-0.06*E4),2)</f>
        <v>#NAME?</v>
      </c>
      <c r="F40" s="401" t="e">
        <f aca="false">ROUND(((2*15*$B$40)-0.06*0.5*F$4)*2,2)</f>
        <v>#NAME?</v>
      </c>
      <c r="G40" s="403" t="e">
        <f aca="false">ROUND(((2*15*$B$40)-0.06*0.5*G4)*2,2)</f>
        <v>#NAME?</v>
      </c>
      <c r="I40" s="423"/>
      <c r="J40" s="416"/>
      <c r="K40" s="416"/>
      <c r="L40" s="416"/>
      <c r="M40" s="416"/>
    </row>
    <row r="41" customFormat="false" ht="15" hidden="false" customHeight="false" outlineLevel="0" collapsed="false">
      <c r="A41" s="424" t="s">
        <v>839</v>
      </c>
      <c r="B41" s="425" t="n">
        <v>23.93</v>
      </c>
      <c r="C41" s="426" t="n">
        <f aca="false">ROUND(($B$41*(1-0.2)*22),2)</f>
        <v>421.17</v>
      </c>
      <c r="D41" s="426" t="n">
        <f aca="false">ROUND(($B$41*(1-0.2)*22),2)</f>
        <v>421.17</v>
      </c>
      <c r="E41" s="426" t="n">
        <f aca="false">ROUND(($B$41*(1-0.2)*22),2)</f>
        <v>421.17</v>
      </c>
      <c r="F41" s="426" t="n">
        <f aca="false">ROUND(($B$41*(1-0.2)*15*2),2)</f>
        <v>574.32</v>
      </c>
      <c r="G41" s="427" t="n">
        <f aca="false">ROUND(($B$41*(1-0.2)*15*2),2)</f>
        <v>574.32</v>
      </c>
      <c r="I41" s="416"/>
      <c r="J41" s="416"/>
      <c r="K41" s="416"/>
      <c r="L41" s="416"/>
      <c r="M41" s="416"/>
    </row>
    <row r="42" customFormat="false" ht="15" hidden="false" customHeight="false" outlineLevel="0" collapsed="false">
      <c r="A42" s="399" t="s">
        <v>840</v>
      </c>
      <c r="B42" s="422"/>
      <c r="C42" s="401" t="e">
        <f aca="false">$B$42-#REF!</f>
        <v>#REF!</v>
      </c>
      <c r="D42" s="401" t="e">
        <f aca="false">$B$42-#REF!</f>
        <v>#REF!</v>
      </c>
      <c r="E42" s="401" t="e">
        <f aca="false">$B$42-#REF!</f>
        <v>#REF!</v>
      </c>
      <c r="F42" s="401" t="e">
        <f aca="false">($B$42-#REF!)*2</f>
        <v>#REF!</v>
      </c>
      <c r="G42" s="403" t="e">
        <f aca="false">($B$42-#REF!)*2</f>
        <v>#REF!</v>
      </c>
      <c r="I42" s="416"/>
      <c r="J42" s="428"/>
      <c r="K42" s="416"/>
      <c r="L42" s="416"/>
      <c r="M42" s="416"/>
    </row>
    <row r="43" customFormat="false" ht="15" hidden="false" customHeight="false" outlineLevel="0" collapsed="false">
      <c r="A43" s="399" t="s">
        <v>841</v>
      </c>
      <c r="B43" s="422"/>
      <c r="C43" s="401" t="n">
        <f aca="false">B43</f>
        <v>0</v>
      </c>
      <c r="D43" s="401" t="n">
        <f aca="false">B43</f>
        <v>0</v>
      </c>
      <c r="E43" s="401" t="n">
        <f aca="false">B43</f>
        <v>0</v>
      </c>
      <c r="F43" s="402" t="n">
        <f aca="false">B43*2</f>
        <v>0</v>
      </c>
      <c r="G43" s="403" t="n">
        <f aca="false">B43*2</f>
        <v>0</v>
      </c>
      <c r="I43" s="416"/>
      <c r="J43" s="416"/>
      <c r="K43" s="416"/>
      <c r="L43" s="416"/>
      <c r="M43" s="416"/>
    </row>
    <row r="44" customFormat="false" ht="15" hidden="false" customHeight="false" outlineLevel="0" collapsed="false">
      <c r="A44" s="399" t="s">
        <v>639</v>
      </c>
      <c r="B44" s="422"/>
      <c r="C44" s="401" t="n">
        <v>0</v>
      </c>
      <c r="D44" s="401" t="n">
        <v>0</v>
      </c>
      <c r="E44" s="401" t="n">
        <v>0</v>
      </c>
      <c r="F44" s="402" t="n">
        <v>0</v>
      </c>
      <c r="G44" s="403" t="n">
        <v>0</v>
      </c>
      <c r="I44" s="416"/>
      <c r="J44" s="416"/>
      <c r="K44" s="416"/>
      <c r="L44" s="416"/>
      <c r="M44" s="416"/>
    </row>
    <row r="45" customFormat="false" ht="15" hidden="false" customHeight="false" outlineLevel="0" collapsed="false">
      <c r="A45" s="405" t="s">
        <v>7</v>
      </c>
      <c r="B45" s="397"/>
      <c r="C45" s="407" t="e">
        <f aca="false">SUM(C40:C44)</f>
        <v>#NAME?</v>
      </c>
      <c r="D45" s="407" t="e">
        <f aca="false">SUM(D40:D44)</f>
        <v>#NAME?</v>
      </c>
      <c r="E45" s="407" t="e">
        <f aca="false">SUM(E40:E44)</f>
        <v>#NAME?</v>
      </c>
      <c r="F45" s="407" t="e">
        <f aca="false">SUM(F40:F44)</f>
        <v>#NAME?</v>
      </c>
      <c r="G45" s="408" t="e">
        <f aca="false">SUM(G40:G44)</f>
        <v>#NAME?</v>
      </c>
      <c r="I45" s="416"/>
      <c r="J45" s="416"/>
      <c r="K45" s="416"/>
      <c r="L45" s="416"/>
      <c r="M45" s="416"/>
    </row>
    <row r="46" customFormat="false" ht="15" hidden="false" customHeight="false" outlineLevel="0" collapsed="false">
      <c r="A46" s="396" t="s">
        <v>842</v>
      </c>
      <c r="B46" s="397" t="s">
        <v>609</v>
      </c>
      <c r="C46" s="397" t="s">
        <v>610</v>
      </c>
      <c r="D46" s="397" t="s">
        <v>610</v>
      </c>
      <c r="E46" s="397" t="s">
        <v>610</v>
      </c>
      <c r="F46" s="397" t="s">
        <v>610</v>
      </c>
      <c r="G46" s="398" t="s">
        <v>610</v>
      </c>
      <c r="I46" s="416"/>
      <c r="J46" s="416"/>
      <c r="K46" s="416"/>
      <c r="L46" s="416"/>
      <c r="M46" s="416"/>
    </row>
    <row r="47" customFormat="false" ht="15" hidden="false" customHeight="false" outlineLevel="0" collapsed="false">
      <c r="A47" s="399" t="s">
        <v>619</v>
      </c>
      <c r="B47" s="413" t="n">
        <f aca="false">B26</f>
        <v>0.111111111111111</v>
      </c>
      <c r="C47" s="401" t="e">
        <f aca="false">C26</f>
        <v>#REF!</v>
      </c>
      <c r="D47" s="401" t="e">
        <f aca="false">D26</f>
        <v>#REF!</v>
      </c>
      <c r="E47" s="401" t="e">
        <f aca="false">E26</f>
        <v>#REF!</v>
      </c>
      <c r="F47" s="401" t="e">
        <f aca="false">F26</f>
        <v>#REF!</v>
      </c>
      <c r="G47" s="403" t="e">
        <f aca="false">G26</f>
        <v>#REF!</v>
      </c>
      <c r="I47" s="416"/>
      <c r="J47" s="416"/>
      <c r="K47" s="416"/>
      <c r="L47" s="416"/>
      <c r="M47" s="416"/>
    </row>
    <row r="48" customFormat="false" ht="15" hidden="false" customHeight="false" outlineLevel="0" collapsed="false">
      <c r="A48" s="399" t="s">
        <v>641</v>
      </c>
      <c r="B48" s="413" t="n">
        <f aca="false">B38</f>
        <v>0.375407</v>
      </c>
      <c r="C48" s="401" t="e">
        <f aca="false">C38</f>
        <v>#REF!</v>
      </c>
      <c r="D48" s="401" t="e">
        <f aca="false">D38</f>
        <v>#REF!</v>
      </c>
      <c r="E48" s="401" t="e">
        <f aca="false">E38</f>
        <v>#REF!</v>
      </c>
      <c r="F48" s="401" t="e">
        <f aca="false">F38</f>
        <v>#REF!</v>
      </c>
      <c r="G48" s="403" t="e">
        <f aca="false">G38</f>
        <v>#REF!</v>
      </c>
      <c r="I48" s="416"/>
      <c r="J48" s="416"/>
      <c r="K48" s="416"/>
      <c r="L48" s="416"/>
      <c r="M48" s="416"/>
    </row>
    <row r="49" customFormat="false" ht="15" hidden="false" customHeight="false" outlineLevel="0" collapsed="false">
      <c r="A49" s="399" t="s">
        <v>632</v>
      </c>
      <c r="B49" s="429" t="s">
        <v>19</v>
      </c>
      <c r="C49" s="401" t="e">
        <f aca="false">C45</f>
        <v>#NAME?</v>
      </c>
      <c r="D49" s="401" t="e">
        <f aca="false">D45</f>
        <v>#NAME?</v>
      </c>
      <c r="E49" s="401" t="e">
        <f aca="false">E45</f>
        <v>#NAME?</v>
      </c>
      <c r="F49" s="401" t="e">
        <f aca="false">F45</f>
        <v>#NAME?</v>
      </c>
      <c r="G49" s="403" t="e">
        <f aca="false">G45</f>
        <v>#NAME?</v>
      </c>
      <c r="I49" s="416"/>
      <c r="J49" s="416"/>
      <c r="K49" s="416"/>
      <c r="L49" s="416"/>
      <c r="M49" s="416"/>
    </row>
    <row r="50" customFormat="false" ht="15" hidden="false" customHeight="false" outlineLevel="0" collapsed="false">
      <c r="A50" s="405" t="s">
        <v>7</v>
      </c>
      <c r="B50" s="397"/>
      <c r="C50" s="407" t="e">
        <f aca="false">SUM(C47:C49)</f>
        <v>#REF!</v>
      </c>
      <c r="D50" s="407" t="e">
        <f aca="false">D47+D48+D49</f>
        <v>#REF!</v>
      </c>
      <c r="E50" s="407" t="e">
        <f aca="false">E47+E48+E49</f>
        <v>#REF!</v>
      </c>
      <c r="F50" s="407" t="e">
        <f aca="false">F47+F48+F49</f>
        <v>#REF!</v>
      </c>
      <c r="G50" s="408" t="e">
        <f aca="false">G47+G48+G49</f>
        <v>#REF!</v>
      </c>
      <c r="I50" s="416"/>
      <c r="J50" s="416"/>
      <c r="K50" s="416"/>
      <c r="L50" s="416"/>
      <c r="M50" s="416"/>
    </row>
    <row r="51" customFormat="false" ht="6" hidden="false" customHeight="true" outlineLevel="0" collapsed="false">
      <c r="A51" s="399"/>
      <c r="B51" s="409"/>
      <c r="C51" s="409"/>
      <c r="D51" s="409"/>
      <c r="E51" s="409"/>
      <c r="F51" s="410"/>
      <c r="G51" s="411"/>
      <c r="I51" s="416"/>
      <c r="J51" s="416"/>
      <c r="K51" s="416"/>
      <c r="L51" s="416"/>
      <c r="M51" s="416"/>
    </row>
    <row r="52" customFormat="false" ht="15" hidden="false" customHeight="false" outlineLevel="0" collapsed="false">
      <c r="A52" s="412" t="s">
        <v>642</v>
      </c>
      <c r="B52" s="412"/>
      <c r="C52" s="412"/>
      <c r="D52" s="412"/>
      <c r="E52" s="412"/>
      <c r="F52" s="412"/>
      <c r="G52" s="412"/>
      <c r="I52" s="416"/>
      <c r="J52" s="416"/>
      <c r="K52" s="416"/>
      <c r="L52" s="416"/>
      <c r="M52" s="416"/>
    </row>
    <row r="53" customFormat="false" ht="15" hidden="false" customHeight="false" outlineLevel="0" collapsed="false">
      <c r="A53" s="396" t="s">
        <v>843</v>
      </c>
      <c r="B53" s="397" t="s">
        <v>609</v>
      </c>
      <c r="C53" s="397" t="s">
        <v>610</v>
      </c>
      <c r="D53" s="397" t="s">
        <v>610</v>
      </c>
      <c r="E53" s="397" t="s">
        <v>610</v>
      </c>
      <c r="F53" s="397" t="s">
        <v>610</v>
      </c>
      <c r="G53" s="398" t="s">
        <v>610</v>
      </c>
      <c r="I53" s="416"/>
      <c r="J53" s="416"/>
      <c r="K53" s="416"/>
      <c r="L53" s="416"/>
      <c r="M53" s="416"/>
    </row>
    <row r="54" customFormat="false" ht="15" hidden="false" customHeight="false" outlineLevel="0" collapsed="false">
      <c r="A54" s="399" t="s">
        <v>644</v>
      </c>
      <c r="B54" s="413" t="e">
        <f aca="false">1/12*#REF!</f>
        <v>#REF!</v>
      </c>
      <c r="C54" s="430" t="e">
        <f aca="false">(C$19+C$26+C$37+C$45)*$B54</f>
        <v>#REF!</v>
      </c>
      <c r="D54" s="430" t="e">
        <f aca="false">(D$19+D$26+D$37+D$45)*$B54</f>
        <v>#REF!</v>
      </c>
      <c r="E54" s="430" t="e">
        <f aca="false">(E$19+E$26+E$37+E$45)*$B54</f>
        <v>#REF!</v>
      </c>
      <c r="F54" s="430" t="e">
        <f aca="false">(F$19+F$26+F$37+F$45)*$B54</f>
        <v>#REF!</v>
      </c>
      <c r="G54" s="431" t="e">
        <f aca="false">(G$19+G$26+G$37+G$45)*$B54</f>
        <v>#REF!</v>
      </c>
      <c r="I54" s="416"/>
      <c r="J54" s="416"/>
      <c r="K54" s="416"/>
      <c r="L54" s="416"/>
      <c r="M54" s="416"/>
    </row>
    <row r="55" customFormat="false" ht="15" hidden="false" customHeight="false" outlineLevel="0" collapsed="false">
      <c r="A55" s="399" t="s">
        <v>844</v>
      </c>
      <c r="B55" s="413" t="e">
        <f aca="false">0.4*#REF!</f>
        <v>#REF!</v>
      </c>
      <c r="C55" s="430" t="e">
        <f aca="false">C37*$B55</f>
        <v>#REF!</v>
      </c>
      <c r="D55" s="430" t="e">
        <f aca="false">D37*$B55</f>
        <v>#REF!</v>
      </c>
      <c r="E55" s="430" t="e">
        <f aca="false">E37*$B55</f>
        <v>#REF!</v>
      </c>
      <c r="F55" s="430" t="e">
        <f aca="false">F37*$B55</f>
        <v>#REF!</v>
      </c>
      <c r="G55" s="431" t="e">
        <f aca="false">G37*$B55</f>
        <v>#REF!</v>
      </c>
      <c r="I55" s="416"/>
      <c r="J55" s="416"/>
      <c r="K55" s="416"/>
      <c r="L55" s="416"/>
      <c r="M55" s="416"/>
    </row>
    <row r="56" customFormat="false" ht="15" hidden="false" customHeight="false" outlineLevel="0" collapsed="false">
      <c r="A56" s="405" t="s">
        <v>7</v>
      </c>
      <c r="B56" s="432"/>
      <c r="C56" s="433" t="e">
        <f aca="false">SUM(C54:C55)</f>
        <v>#REF!</v>
      </c>
      <c r="D56" s="433" t="e">
        <f aca="false">SUM(D54:D55)</f>
        <v>#REF!</v>
      </c>
      <c r="E56" s="433" t="e">
        <f aca="false">SUM(E54:E55)</f>
        <v>#REF!</v>
      </c>
      <c r="F56" s="433" t="e">
        <f aca="false">SUM(F54:F55)</f>
        <v>#REF!</v>
      </c>
      <c r="G56" s="434" t="e">
        <f aca="false">SUM(G54:G55)</f>
        <v>#REF!</v>
      </c>
      <c r="I56" s="416"/>
      <c r="J56" s="416"/>
      <c r="K56" s="416"/>
      <c r="L56" s="416"/>
      <c r="M56" s="416"/>
    </row>
    <row r="57" customFormat="false" ht="15" hidden="false" customHeight="false" outlineLevel="0" collapsed="false">
      <c r="A57" s="396" t="s">
        <v>845</v>
      </c>
      <c r="B57" s="397" t="s">
        <v>609</v>
      </c>
      <c r="C57" s="397" t="s">
        <v>610</v>
      </c>
      <c r="D57" s="397" t="s">
        <v>610</v>
      </c>
      <c r="E57" s="397" t="s">
        <v>610</v>
      </c>
      <c r="F57" s="417" t="s">
        <v>610</v>
      </c>
      <c r="G57" s="398" t="s">
        <v>610</v>
      </c>
      <c r="I57" s="416"/>
      <c r="J57" s="416"/>
      <c r="K57" s="416"/>
      <c r="L57" s="416"/>
      <c r="M57" s="416"/>
    </row>
    <row r="58" customFormat="false" ht="15" hidden="false" customHeight="false" outlineLevel="0" collapsed="false">
      <c r="A58" s="399" t="s">
        <v>846</v>
      </c>
      <c r="B58" s="413" t="e">
        <f aca="false">1/12*#REF!</f>
        <v>#REF!</v>
      </c>
      <c r="C58" s="435" t="e">
        <f aca="false">(C19+C50)*$B58</f>
        <v>#REF!</v>
      </c>
      <c r="D58" s="435" t="e">
        <f aca="false">(D19+D50)*$B58</f>
        <v>#REF!</v>
      </c>
      <c r="E58" s="435" t="e">
        <f aca="false">(E19+E50)*$B58</f>
        <v>#REF!</v>
      </c>
      <c r="F58" s="435" t="e">
        <f aca="false">(F19+F50)*$B58</f>
        <v>#REF!</v>
      </c>
      <c r="G58" s="436" t="e">
        <f aca="false">(G19+G50)*$B58</f>
        <v>#REF!</v>
      </c>
      <c r="I58" s="416"/>
      <c r="J58" s="416"/>
      <c r="K58" s="416"/>
      <c r="L58" s="416"/>
      <c r="M58" s="416"/>
    </row>
    <row r="59" customFormat="false" ht="15" hidden="false" customHeight="false" outlineLevel="0" collapsed="false">
      <c r="A59" s="399" t="s">
        <v>847</v>
      </c>
      <c r="B59" s="413" t="e">
        <f aca="false">0.4*#REF!</f>
        <v>#REF!</v>
      </c>
      <c r="C59" s="435" t="e">
        <f aca="false">$B59*C37</f>
        <v>#REF!</v>
      </c>
      <c r="D59" s="435" t="e">
        <f aca="false">$B59*D37</f>
        <v>#REF!</v>
      </c>
      <c r="E59" s="435" t="e">
        <f aca="false">$B59*E37</f>
        <v>#REF!</v>
      </c>
      <c r="F59" s="435" t="e">
        <f aca="false">$B59*F37</f>
        <v>#REF!</v>
      </c>
      <c r="G59" s="436" t="e">
        <f aca="false">$B59*G37</f>
        <v>#REF!</v>
      </c>
      <c r="I59" s="416"/>
      <c r="J59" s="416"/>
      <c r="K59" s="416"/>
      <c r="L59" s="416"/>
      <c r="M59" s="416"/>
    </row>
    <row r="60" customFormat="false" ht="15" hidden="false" customHeight="false" outlineLevel="0" collapsed="false">
      <c r="A60" s="405" t="s">
        <v>7</v>
      </c>
      <c r="B60" s="432"/>
      <c r="C60" s="407" t="e">
        <f aca="false">SUM(C58:C59)</f>
        <v>#REF!</v>
      </c>
      <c r="D60" s="407" t="e">
        <f aca="false">SUM(D58:D59)</f>
        <v>#REF!</v>
      </c>
      <c r="E60" s="407" t="e">
        <f aca="false">SUM(E58:E59)</f>
        <v>#REF!</v>
      </c>
      <c r="F60" s="407" t="e">
        <f aca="false">SUM(F58:F59)</f>
        <v>#REF!</v>
      </c>
      <c r="G60" s="408" t="e">
        <f aca="false">SUM(G58:G59)</f>
        <v>#REF!</v>
      </c>
      <c r="I60" s="416"/>
      <c r="J60" s="416"/>
      <c r="K60" s="416"/>
      <c r="L60" s="416"/>
      <c r="M60" s="416"/>
    </row>
    <row r="61" customFormat="false" ht="15" hidden="false" customHeight="false" outlineLevel="0" collapsed="false">
      <c r="A61" s="396" t="s">
        <v>848</v>
      </c>
      <c r="B61" s="397" t="s">
        <v>609</v>
      </c>
      <c r="C61" s="397" t="s">
        <v>610</v>
      </c>
      <c r="D61" s="397" t="s">
        <v>610</v>
      </c>
      <c r="E61" s="397" t="s">
        <v>610</v>
      </c>
      <c r="F61" s="417" t="s">
        <v>610</v>
      </c>
      <c r="G61" s="398" t="s">
        <v>610</v>
      </c>
      <c r="I61" s="416"/>
      <c r="J61" s="416"/>
      <c r="K61" s="416"/>
      <c r="L61" s="416"/>
      <c r="M61" s="416"/>
    </row>
    <row r="62" customFormat="false" ht="15" hidden="false" customHeight="false" outlineLevel="0" collapsed="false">
      <c r="A62" s="399" t="s">
        <v>849</v>
      </c>
      <c r="B62" s="413" t="e">
        <f aca="false">#REF!</f>
        <v>#REF!</v>
      </c>
      <c r="C62" s="435" t="e">
        <f aca="false">(C23*$B$62)*-1</f>
        <v>#REF!</v>
      </c>
      <c r="D62" s="435" t="e">
        <f aca="false">(D23*$B$62)*-1</f>
        <v>#REF!</v>
      </c>
      <c r="E62" s="435" t="e">
        <f aca="false">(E23*$B$62)*-1</f>
        <v>#REF!</v>
      </c>
      <c r="F62" s="435" t="e">
        <f aca="false">(F23*$B$62)*-1</f>
        <v>#REF!</v>
      </c>
      <c r="G62" s="436" t="e">
        <f aca="false">(G23*$B$62)*-1</f>
        <v>#REF!</v>
      </c>
      <c r="I62" s="416"/>
      <c r="J62" s="416"/>
      <c r="K62" s="416"/>
      <c r="L62" s="416"/>
      <c r="M62" s="416"/>
    </row>
    <row r="63" customFormat="false" ht="15" hidden="false" customHeight="false" outlineLevel="0" collapsed="false">
      <c r="A63" s="399" t="s">
        <v>850</v>
      </c>
      <c r="B63" s="413" t="e">
        <f aca="false">#REF!</f>
        <v>#REF!</v>
      </c>
      <c r="C63" s="435" t="e">
        <f aca="false">(C24*$B$63)*-1</f>
        <v>#REF!</v>
      </c>
      <c r="D63" s="435" t="e">
        <f aca="false">(D24*$B$63)*-1</f>
        <v>#REF!</v>
      </c>
      <c r="E63" s="435" t="e">
        <f aca="false">(E24*$B$63)*-1</f>
        <v>#REF!</v>
      </c>
      <c r="F63" s="435" t="e">
        <f aca="false">(F24*$B$63)*-1</f>
        <v>#REF!</v>
      </c>
      <c r="G63" s="436" t="e">
        <f aca="false">(G24*$B$63)*-1</f>
        <v>#REF!</v>
      </c>
      <c r="I63" s="416"/>
      <c r="J63" s="416"/>
      <c r="K63" s="416"/>
      <c r="L63" s="416"/>
      <c r="M63" s="416"/>
    </row>
    <row r="64" customFormat="false" ht="15" hidden="false" customHeight="false" outlineLevel="0" collapsed="false">
      <c r="A64" s="399" t="s">
        <v>851</v>
      </c>
      <c r="B64" s="413" t="e">
        <f aca="false">#REF!</f>
        <v>#REF!</v>
      </c>
      <c r="C64" s="435" t="e">
        <f aca="false">(C25*$B$64)*-1</f>
        <v>#REF!</v>
      </c>
      <c r="D64" s="435" t="e">
        <f aca="false">(D25*$B$64)*-1</f>
        <v>#REF!</v>
      </c>
      <c r="E64" s="435" t="e">
        <f aca="false">(E25*$B$64)*-1</f>
        <v>#REF!</v>
      </c>
      <c r="F64" s="435" t="e">
        <f aca="false">(F25*$B$64)*-1</f>
        <v>#REF!</v>
      </c>
      <c r="G64" s="436" t="e">
        <f aca="false">(G25*$B$64)*-1</f>
        <v>#REF!</v>
      </c>
      <c r="I64" s="416"/>
      <c r="J64" s="416"/>
      <c r="K64" s="416"/>
      <c r="L64" s="416"/>
      <c r="M64" s="416"/>
    </row>
    <row r="65" customFormat="false" ht="15" hidden="false" customHeight="false" outlineLevel="0" collapsed="false">
      <c r="A65" s="405" t="s">
        <v>7</v>
      </c>
      <c r="B65" s="432"/>
      <c r="C65" s="407" t="e">
        <f aca="false">SUM(C62:C64)</f>
        <v>#REF!</v>
      </c>
      <c r="D65" s="407" t="e">
        <f aca="false">SUM(D62:D64)</f>
        <v>#REF!</v>
      </c>
      <c r="E65" s="407" t="e">
        <f aca="false">SUM(E62:E64)</f>
        <v>#REF!</v>
      </c>
      <c r="F65" s="407" t="e">
        <f aca="false">SUM(F62:F64)</f>
        <v>#REF!</v>
      </c>
      <c r="G65" s="408" t="e">
        <f aca="false">SUM(G62:G64)</f>
        <v>#REF!</v>
      </c>
      <c r="I65" s="416"/>
      <c r="J65" s="416"/>
      <c r="K65" s="416"/>
      <c r="L65" s="416"/>
      <c r="M65" s="416"/>
    </row>
    <row r="66" customFormat="false" ht="15" hidden="false" customHeight="false" outlineLevel="0" collapsed="false">
      <c r="A66" s="396" t="s">
        <v>643</v>
      </c>
      <c r="B66" s="397" t="s">
        <v>609</v>
      </c>
      <c r="C66" s="397" t="s">
        <v>610</v>
      </c>
      <c r="D66" s="397" t="s">
        <v>610</v>
      </c>
      <c r="E66" s="397" t="s">
        <v>610</v>
      </c>
      <c r="F66" s="417" t="s">
        <v>610</v>
      </c>
      <c r="G66" s="398" t="s">
        <v>610</v>
      </c>
      <c r="I66" s="416"/>
      <c r="J66" s="416"/>
      <c r="K66" s="416"/>
      <c r="L66" s="416"/>
      <c r="M66" s="416"/>
    </row>
    <row r="67" customFormat="false" ht="15" hidden="false" customHeight="false" outlineLevel="0" collapsed="false">
      <c r="A67" s="399" t="s">
        <v>644</v>
      </c>
      <c r="B67" s="437"/>
      <c r="C67" s="435" t="e">
        <f aca="false">C56</f>
        <v>#REF!</v>
      </c>
      <c r="D67" s="435" t="e">
        <f aca="false">D56</f>
        <v>#REF!</v>
      </c>
      <c r="E67" s="435" t="e">
        <f aca="false">E56</f>
        <v>#REF!</v>
      </c>
      <c r="F67" s="435" t="e">
        <f aca="false">F56</f>
        <v>#REF!</v>
      </c>
      <c r="G67" s="436" t="e">
        <f aca="false">G56</f>
        <v>#REF!</v>
      </c>
      <c r="I67" s="416"/>
      <c r="J67" s="416"/>
      <c r="K67" s="416"/>
      <c r="L67" s="416"/>
      <c r="M67" s="416"/>
    </row>
    <row r="68" customFormat="false" ht="15" hidden="false" customHeight="false" outlineLevel="0" collapsed="false">
      <c r="A68" s="399" t="s">
        <v>852</v>
      </c>
      <c r="B68" s="437"/>
      <c r="C68" s="435" t="e">
        <f aca="false">C60</f>
        <v>#REF!</v>
      </c>
      <c r="D68" s="435" t="e">
        <f aca="false">D60</f>
        <v>#REF!</v>
      </c>
      <c r="E68" s="435" t="e">
        <f aca="false">E60</f>
        <v>#REF!</v>
      </c>
      <c r="F68" s="435" t="e">
        <f aca="false">F60</f>
        <v>#REF!</v>
      </c>
      <c r="G68" s="436" t="e">
        <f aca="false">G60</f>
        <v>#REF!</v>
      </c>
      <c r="I68" s="416"/>
      <c r="J68" s="416"/>
      <c r="K68" s="416"/>
      <c r="L68" s="416"/>
      <c r="M68" s="416"/>
    </row>
    <row r="69" customFormat="false" ht="15" hidden="false" customHeight="false" outlineLevel="0" collapsed="false">
      <c r="A69" s="399" t="s">
        <v>853</v>
      </c>
      <c r="B69" s="437"/>
      <c r="C69" s="435" t="e">
        <f aca="false">C65</f>
        <v>#REF!</v>
      </c>
      <c r="D69" s="435" t="e">
        <f aca="false">D65</f>
        <v>#REF!</v>
      </c>
      <c r="E69" s="435" t="e">
        <f aca="false">E65</f>
        <v>#REF!</v>
      </c>
      <c r="F69" s="435" t="e">
        <f aca="false">F65</f>
        <v>#REF!</v>
      </c>
      <c r="G69" s="436" t="e">
        <f aca="false">G65</f>
        <v>#REF!</v>
      </c>
      <c r="I69" s="416"/>
      <c r="J69" s="416"/>
      <c r="K69" s="416"/>
      <c r="L69" s="416"/>
      <c r="M69" s="416"/>
    </row>
    <row r="70" customFormat="false" ht="15" hidden="false" customHeight="false" outlineLevel="0" collapsed="false">
      <c r="A70" s="405" t="s">
        <v>7</v>
      </c>
      <c r="B70" s="414"/>
      <c r="C70" s="407" t="e">
        <f aca="false">SUM(C67:C69)</f>
        <v>#REF!</v>
      </c>
      <c r="D70" s="407" t="e">
        <f aca="false">SUM(D67:D69)</f>
        <v>#REF!</v>
      </c>
      <c r="E70" s="407" t="e">
        <f aca="false">SUM(E67:E69)</f>
        <v>#REF!</v>
      </c>
      <c r="F70" s="407" t="e">
        <f aca="false">SUM(F67:F69)</f>
        <v>#REF!</v>
      </c>
      <c r="G70" s="408" t="e">
        <f aca="false">SUM(G67:G69)</f>
        <v>#REF!</v>
      </c>
      <c r="I70" s="415"/>
      <c r="J70" s="415"/>
      <c r="K70" s="415"/>
      <c r="L70" s="415"/>
      <c r="M70" s="415"/>
    </row>
    <row r="71" customFormat="false" ht="7.5" hidden="false" customHeight="true" outlineLevel="0" collapsed="false">
      <c r="A71" s="438"/>
      <c r="B71" s="439"/>
      <c r="C71" s="440"/>
      <c r="D71" s="440"/>
      <c r="E71" s="440"/>
      <c r="F71" s="440"/>
      <c r="G71" s="441"/>
      <c r="I71" s="416"/>
      <c r="J71" s="416"/>
      <c r="K71" s="416"/>
      <c r="L71" s="416"/>
      <c r="M71" s="416"/>
    </row>
    <row r="72" customFormat="false" ht="15" hidden="false" customHeight="false" outlineLevel="0" collapsed="false">
      <c r="A72" s="442" t="s">
        <v>650</v>
      </c>
      <c r="B72" s="442"/>
      <c r="C72" s="442"/>
      <c r="D72" s="442"/>
      <c r="E72" s="442"/>
      <c r="F72" s="442"/>
      <c r="G72" s="442"/>
      <c r="I72" s="416"/>
      <c r="J72" s="416"/>
      <c r="K72" s="416"/>
      <c r="L72" s="416"/>
      <c r="M72" s="416"/>
    </row>
    <row r="73" customFormat="false" ht="15" hidden="false" customHeight="false" outlineLevel="0" collapsed="false">
      <c r="A73" s="443" t="s">
        <v>854</v>
      </c>
      <c r="B73" s="444" t="s">
        <v>609</v>
      </c>
      <c r="C73" s="444" t="s">
        <v>610</v>
      </c>
      <c r="D73" s="444" t="s">
        <v>610</v>
      </c>
      <c r="E73" s="444" t="s">
        <v>610</v>
      </c>
      <c r="F73" s="444" t="s">
        <v>610</v>
      </c>
      <c r="G73" s="445" t="s">
        <v>610</v>
      </c>
      <c r="I73" s="416"/>
      <c r="J73" s="416"/>
      <c r="K73" s="416"/>
      <c r="L73" s="416"/>
      <c r="M73" s="416"/>
    </row>
    <row r="74" customFormat="false" ht="15" hidden="false" customHeight="false" outlineLevel="0" collapsed="false">
      <c r="A74" s="399" t="s">
        <v>855</v>
      </c>
      <c r="B74" s="413"/>
      <c r="C74" s="401" t="e">
        <f aca="false">ROUND(#REF!/30/12*(C$19+C$50+C$70-C45),2)</f>
        <v>#REF!</v>
      </c>
      <c r="D74" s="401" t="e">
        <f aca="false">ROUND(#REF!/30/12*(D$19+D$50+D$70-D45),2)</f>
        <v>#REF!</v>
      </c>
      <c r="E74" s="401" t="e">
        <f aca="false">ROUND(#REF!/30/12*(E$19+E$50+E$70-E45),2)</f>
        <v>#REF!</v>
      </c>
      <c r="F74" s="401" t="e">
        <f aca="false">ROUND(#REF!/30/12*(F$19+F$50+F$70-F45),2)</f>
        <v>#REF!</v>
      </c>
      <c r="G74" s="401" t="e">
        <f aca="false">ROUND(#REF!/30/12*(G$19+G$50+G$70-G45),2)</f>
        <v>#REF!</v>
      </c>
      <c r="I74" s="415"/>
      <c r="J74" s="415"/>
      <c r="K74" s="415"/>
      <c r="L74" s="415"/>
      <c r="M74" s="415"/>
    </row>
    <row r="75" customFormat="false" ht="15" hidden="false" customHeight="false" outlineLevel="0" collapsed="false">
      <c r="A75" s="399" t="s">
        <v>856</v>
      </c>
      <c r="B75" s="413"/>
      <c r="C75" s="401" t="e">
        <f aca="false">ROUND((SUM(#REF!)-(#REF!+#REF!))/30/12*(C$19+C$50+C$70-C45),2)</f>
        <v>#REF!</v>
      </c>
      <c r="D75" s="401" t="e">
        <f aca="false">ROUND((SUM(#REF!)-(#REF!+#REF!))/30/12*(D$19+D$50+D$70-D45),2)</f>
        <v>#REF!</v>
      </c>
      <c r="E75" s="401" t="e">
        <f aca="false">ROUND((SUM(#REF!)-(#REF!+#REF!))/30/12*(E$19+E$50+E$70-E45),2)</f>
        <v>#REF!</v>
      </c>
      <c r="F75" s="401" t="e">
        <f aca="false">ROUND((SUM(#REF!)-(#REF!+#REF!))/30/12*(F$19+F$50+F$70-F45),2)</f>
        <v>#REF!</v>
      </c>
      <c r="G75" s="401" t="e">
        <f aca="false">ROUND((SUM(#REF!)-(#REF!+#REF!))/30/12*(G$19+G$50+G$70-G45),2)</f>
        <v>#REF!</v>
      </c>
      <c r="I75" s="415"/>
      <c r="J75" s="415"/>
      <c r="K75" s="415"/>
      <c r="L75" s="415"/>
      <c r="M75" s="415"/>
    </row>
    <row r="76" customFormat="false" ht="15" hidden="false" customHeight="false" outlineLevel="0" collapsed="false">
      <c r="A76" s="399" t="s">
        <v>857</v>
      </c>
      <c r="B76" s="413"/>
      <c r="C76" s="401" t="e">
        <f aca="false">ROUND(#REF!/30/12*(C$19+C$50+C$70-C45),2)</f>
        <v>#REF!</v>
      </c>
      <c r="D76" s="401" t="e">
        <f aca="false">ROUND(#REF!/30/12*(D$19+D$50+D$70-D45),2)</f>
        <v>#REF!</v>
      </c>
      <c r="E76" s="401" t="e">
        <f aca="false">ROUND(#REF!/30/12*(E$19+E$50+E$70-E45),2)</f>
        <v>#REF!</v>
      </c>
      <c r="F76" s="401" t="e">
        <f aca="false">ROUND(#REF!/30/12*(F$19+F$50+F$70-F45),2)</f>
        <v>#REF!</v>
      </c>
      <c r="G76" s="403" t="e">
        <f aca="false">ROUND(#REF!/30/12*(G$19+G$50+G$70-G45),2)</f>
        <v>#REF!</v>
      </c>
      <c r="I76" s="415"/>
      <c r="J76" s="415"/>
      <c r="K76" s="415"/>
      <c r="L76" s="415"/>
      <c r="M76" s="415"/>
    </row>
    <row r="77" customFormat="false" ht="15" hidden="false" customHeight="false" outlineLevel="0" collapsed="false">
      <c r="A77" s="399" t="s">
        <v>858</v>
      </c>
      <c r="B77" s="413"/>
      <c r="C77" s="401" t="e">
        <f aca="false">ROUND(#REF!/30/12*(C$19+C$50+C$70-C45),2)</f>
        <v>#REF!</v>
      </c>
      <c r="D77" s="401" t="e">
        <f aca="false">ROUND(#REF!/30/12*(D$19+D$50+D$70-D45),2)</f>
        <v>#REF!</v>
      </c>
      <c r="E77" s="401" t="e">
        <f aca="false">ROUND(#REF!/30/12*(E$19+E$50+E$70-E45),2)</f>
        <v>#REF!</v>
      </c>
      <c r="F77" s="401" t="e">
        <f aca="false">ROUND(#REF!/30/12*(F$19+F$50+F$70-F45),2)</f>
        <v>#REF!</v>
      </c>
      <c r="G77" s="403" t="e">
        <f aca="false">ROUND(#REF!/30/12*(G$19+G$50+G$70-G45),2)</f>
        <v>#REF!</v>
      </c>
      <c r="I77" s="415"/>
      <c r="J77" s="415"/>
      <c r="K77" s="415"/>
      <c r="L77" s="415"/>
      <c r="M77" s="415"/>
    </row>
    <row r="78" customFormat="false" ht="15" hidden="false" customHeight="false" outlineLevel="0" collapsed="false">
      <c r="A78" s="399" t="s">
        <v>668</v>
      </c>
      <c r="B78" s="413"/>
      <c r="C78" s="401"/>
      <c r="D78" s="401"/>
      <c r="E78" s="401"/>
      <c r="F78" s="402"/>
      <c r="G78" s="403"/>
      <c r="I78" s="415"/>
      <c r="J78" s="415"/>
      <c r="K78" s="415"/>
      <c r="L78" s="415"/>
      <c r="M78" s="415"/>
    </row>
    <row r="79" customFormat="false" ht="15" hidden="false" customHeight="false" outlineLevel="0" collapsed="false">
      <c r="A79" s="405" t="s">
        <v>7</v>
      </c>
      <c r="B79" s="414" t="n">
        <f aca="false">SUM(B74:B78)</f>
        <v>0</v>
      </c>
      <c r="C79" s="407" t="e">
        <f aca="false">SUM(C74:C78)</f>
        <v>#REF!</v>
      </c>
      <c r="D79" s="407" t="e">
        <f aca="false">SUM(D74:D78)</f>
        <v>#REF!</v>
      </c>
      <c r="E79" s="407" t="e">
        <f aca="false">SUM(E74:E78)</f>
        <v>#REF!</v>
      </c>
      <c r="F79" s="407" t="e">
        <f aca="false">SUM(F74:F78)</f>
        <v>#REF!</v>
      </c>
      <c r="G79" s="408" t="e">
        <f aca="false">SUM(G74:G78)</f>
        <v>#REF!</v>
      </c>
      <c r="I79" s="415"/>
      <c r="J79" s="415"/>
      <c r="K79" s="415"/>
      <c r="L79" s="415"/>
      <c r="M79" s="415"/>
    </row>
    <row r="80" customFormat="false" ht="15" hidden="false" customHeight="false" outlineLevel="0" collapsed="false">
      <c r="A80" s="396" t="s">
        <v>859</v>
      </c>
      <c r="B80" s="397"/>
      <c r="C80" s="397" t="s">
        <v>610</v>
      </c>
      <c r="D80" s="397" t="s">
        <v>610</v>
      </c>
      <c r="E80" s="397" t="s">
        <v>610</v>
      </c>
      <c r="F80" s="397" t="s">
        <v>610</v>
      </c>
      <c r="G80" s="398" t="s">
        <v>610</v>
      </c>
      <c r="I80" s="416"/>
      <c r="J80" s="416"/>
      <c r="K80" s="416"/>
      <c r="L80" s="416"/>
      <c r="M80" s="416"/>
    </row>
    <row r="81" customFormat="false" ht="15" hidden="false" customHeight="false" outlineLevel="0" collapsed="false">
      <c r="A81" s="399" t="s">
        <v>860</v>
      </c>
      <c r="B81" s="413" t="n">
        <v>0.5</v>
      </c>
      <c r="C81" s="446"/>
      <c r="D81" s="446"/>
      <c r="E81" s="446"/>
      <c r="F81" s="446" t="e">
        <f aca="false">ROUND(F$12/220*15*0.5*(1+$B81),2)</f>
        <v>#REF!</v>
      </c>
      <c r="G81" s="446" t="e">
        <f aca="false">ROUND(G$12/220*15*0.5*(1+$B81),2)</f>
        <v>#REF!</v>
      </c>
      <c r="I81" s="423"/>
      <c r="J81" s="416"/>
      <c r="K81" s="416"/>
      <c r="L81" s="416"/>
      <c r="M81" s="416"/>
    </row>
    <row r="82" customFormat="false" ht="15" hidden="false" customHeight="false" outlineLevel="0" collapsed="false">
      <c r="A82" s="405"/>
      <c r="B82" s="414"/>
      <c r="C82" s="447"/>
      <c r="D82" s="447"/>
      <c r="E82" s="447"/>
      <c r="F82" s="448"/>
      <c r="G82" s="449"/>
      <c r="I82" s="416"/>
      <c r="J82" s="416"/>
      <c r="K82" s="416"/>
      <c r="L82" s="416"/>
      <c r="M82" s="416"/>
    </row>
    <row r="83" customFormat="false" ht="15" hidden="false" customHeight="false" outlineLevel="0" collapsed="false">
      <c r="A83" s="396" t="s">
        <v>661</v>
      </c>
      <c r="B83" s="397" t="s">
        <v>609</v>
      </c>
      <c r="C83" s="397" t="s">
        <v>610</v>
      </c>
      <c r="D83" s="397" t="s">
        <v>610</v>
      </c>
      <c r="E83" s="397" t="s">
        <v>610</v>
      </c>
      <c r="F83" s="417"/>
      <c r="G83" s="398" t="s">
        <v>610</v>
      </c>
      <c r="I83" s="416"/>
      <c r="J83" s="416"/>
      <c r="K83" s="416"/>
      <c r="L83" s="416"/>
      <c r="M83" s="416"/>
    </row>
    <row r="84" customFormat="false" ht="15" hidden="false" customHeight="false" outlineLevel="0" collapsed="false">
      <c r="A84" s="399" t="s">
        <v>861</v>
      </c>
      <c r="B84" s="413" t="n">
        <f aca="false">B79</f>
        <v>0</v>
      </c>
      <c r="C84" s="401" t="e">
        <f aca="false">C79</f>
        <v>#REF!</v>
      </c>
      <c r="D84" s="401" t="e">
        <f aca="false">D79</f>
        <v>#REF!</v>
      </c>
      <c r="E84" s="401" t="e">
        <f aca="false">E79</f>
        <v>#REF!</v>
      </c>
      <c r="F84" s="401" t="e">
        <f aca="false">F79</f>
        <v>#REF!</v>
      </c>
      <c r="G84" s="403" t="e">
        <f aca="false">G79</f>
        <v>#REF!</v>
      </c>
      <c r="I84" s="416"/>
      <c r="J84" s="416"/>
      <c r="K84" s="416"/>
      <c r="L84" s="416"/>
      <c r="M84" s="416"/>
    </row>
    <row r="85" customFormat="false" ht="15" hidden="false" customHeight="false" outlineLevel="0" collapsed="false">
      <c r="A85" s="399" t="s">
        <v>862</v>
      </c>
      <c r="B85" s="413" t="n">
        <f aca="false">B81</f>
        <v>0.5</v>
      </c>
      <c r="C85" s="401" t="n">
        <f aca="false">C81</f>
        <v>0</v>
      </c>
      <c r="D85" s="401" t="n">
        <f aca="false">D81</f>
        <v>0</v>
      </c>
      <c r="E85" s="401" t="n">
        <f aca="false">E81</f>
        <v>0</v>
      </c>
      <c r="F85" s="401" t="e">
        <f aca="false">F81</f>
        <v>#REF!</v>
      </c>
      <c r="G85" s="403" t="e">
        <f aca="false">G81</f>
        <v>#REF!</v>
      </c>
      <c r="I85" s="416"/>
      <c r="J85" s="416"/>
      <c r="K85" s="416"/>
      <c r="L85" s="416"/>
      <c r="M85" s="416"/>
    </row>
    <row r="86" customFormat="false" ht="15" hidden="false" customHeight="false" outlineLevel="0" collapsed="false">
      <c r="A86" s="405" t="s">
        <v>7</v>
      </c>
      <c r="B86" s="414" t="n">
        <f aca="false">SUM(B84:B85)</f>
        <v>0.5</v>
      </c>
      <c r="C86" s="407" t="e">
        <f aca="false">SUM(C84:C85)</f>
        <v>#REF!</v>
      </c>
      <c r="D86" s="407" t="e">
        <f aca="false">SUM(D84:D85)</f>
        <v>#REF!</v>
      </c>
      <c r="E86" s="407" t="e">
        <f aca="false">SUM(E84:E85)</f>
        <v>#REF!</v>
      </c>
      <c r="F86" s="407" t="e">
        <f aca="false">SUM(F84:F85)</f>
        <v>#REF!</v>
      </c>
      <c r="G86" s="408" t="e">
        <f aca="false">SUM(G84:G85)</f>
        <v>#REF!</v>
      </c>
      <c r="I86" s="416"/>
      <c r="J86" s="416"/>
      <c r="K86" s="416"/>
      <c r="L86" s="416"/>
      <c r="M86" s="416"/>
    </row>
    <row r="87" customFormat="false" ht="4.5" hidden="false" customHeight="true" outlineLevel="0" collapsed="false">
      <c r="A87" s="399"/>
      <c r="B87" s="409"/>
      <c r="C87" s="409"/>
      <c r="D87" s="409"/>
      <c r="E87" s="409"/>
      <c r="F87" s="410"/>
      <c r="G87" s="411"/>
      <c r="I87" s="416"/>
      <c r="J87" s="416"/>
      <c r="K87" s="416"/>
      <c r="L87" s="416"/>
      <c r="M87" s="416"/>
    </row>
    <row r="88" customFormat="false" ht="15" hidden="false" customHeight="false" outlineLevel="0" collapsed="false">
      <c r="A88" s="412" t="s">
        <v>662</v>
      </c>
      <c r="B88" s="412"/>
      <c r="C88" s="412"/>
      <c r="D88" s="412"/>
      <c r="E88" s="412"/>
      <c r="F88" s="412"/>
      <c r="G88" s="412"/>
      <c r="I88" s="416"/>
      <c r="J88" s="416"/>
      <c r="K88" s="416"/>
      <c r="L88" s="416"/>
      <c r="M88" s="416"/>
    </row>
    <row r="89" customFormat="false" ht="15" hidden="false" customHeight="false" outlineLevel="0" collapsed="false">
      <c r="A89" s="396" t="s">
        <v>663</v>
      </c>
      <c r="B89" s="397" t="s">
        <v>19</v>
      </c>
      <c r="C89" s="397" t="s">
        <v>610</v>
      </c>
      <c r="D89" s="397" t="s">
        <v>610</v>
      </c>
      <c r="E89" s="397" t="s">
        <v>610</v>
      </c>
      <c r="F89" s="397" t="s">
        <v>610</v>
      </c>
      <c r="G89" s="398" t="s">
        <v>610</v>
      </c>
      <c r="I89" s="416"/>
      <c r="J89" s="416"/>
      <c r="K89" s="416"/>
      <c r="L89" s="416"/>
      <c r="M89" s="416"/>
    </row>
    <row r="90" customFormat="false" ht="15" hidden="false" customHeight="false" outlineLevel="0" collapsed="false">
      <c r="A90" s="450" t="s">
        <v>664</v>
      </c>
      <c r="B90" s="430" t="n">
        <f aca="false">Insumos!F12</f>
        <v>86.8083333333333</v>
      </c>
      <c r="C90" s="430" t="n">
        <f aca="false">B90</f>
        <v>86.8083333333333</v>
      </c>
      <c r="D90" s="430" t="n">
        <f aca="false">B90</f>
        <v>86.8083333333333</v>
      </c>
      <c r="E90" s="430" t="n">
        <f aca="false">B90</f>
        <v>86.8083333333333</v>
      </c>
      <c r="F90" s="451" t="n">
        <f aca="false">B90*2</f>
        <v>173.616666666667</v>
      </c>
      <c r="G90" s="431" t="n">
        <f aca="false">B90*2</f>
        <v>173.616666666667</v>
      </c>
      <c r="I90" s="416"/>
      <c r="J90" s="416"/>
      <c r="K90" s="416"/>
      <c r="L90" s="416"/>
      <c r="M90" s="416"/>
    </row>
    <row r="91" customFormat="false" ht="15" hidden="false" customHeight="false" outlineLevel="0" collapsed="false">
      <c r="A91" s="450" t="s">
        <v>863</v>
      </c>
      <c r="B91" s="430" t="e">
        <f aca="false">insumos!#ref!</f>
        <v>#NAME?</v>
      </c>
      <c r="C91" s="430" t="e">
        <f aca="false">B91</f>
        <v>#NAME?</v>
      </c>
      <c r="D91" s="430" t="e">
        <f aca="false">B91</f>
        <v>#NAME?</v>
      </c>
      <c r="E91" s="430" t="e">
        <f aca="false">B91</f>
        <v>#NAME?</v>
      </c>
      <c r="F91" s="451" t="e">
        <f aca="false">B91*2</f>
        <v>#NAME?</v>
      </c>
      <c r="G91" s="431" t="e">
        <f aca="false">B91*2</f>
        <v>#NAME?</v>
      </c>
      <c r="I91" s="416"/>
      <c r="J91" s="416"/>
      <c r="K91" s="416"/>
      <c r="L91" s="416"/>
      <c r="M91" s="416"/>
    </row>
    <row r="92" customFormat="false" ht="15" hidden="false" customHeight="false" outlineLevel="0" collapsed="false">
      <c r="A92" s="450" t="s">
        <v>864</v>
      </c>
      <c r="B92" s="430"/>
      <c r="C92" s="430" t="e">
        <f aca="false">insumos!#ref!</f>
        <v>#NAME?</v>
      </c>
      <c r="D92" s="430" t="e">
        <f aca="false">insumos!#ref!</f>
        <v>#NAME?</v>
      </c>
      <c r="E92" s="430" t="e">
        <f aca="false">insumos!#ref!</f>
        <v>#NAME?</v>
      </c>
      <c r="F92" s="451" t="e">
        <f aca="false">insumos!#ref!</f>
        <v>#NAME?</v>
      </c>
      <c r="G92" s="431" t="e">
        <f aca="false">insumos!#ref!</f>
        <v>#NAME?</v>
      </c>
      <c r="I92" s="416"/>
      <c r="J92" s="416"/>
      <c r="K92" s="416"/>
      <c r="L92" s="416"/>
      <c r="M92" s="416"/>
    </row>
    <row r="93" customFormat="false" ht="15" hidden="false" customHeight="false" outlineLevel="0" collapsed="false">
      <c r="A93" s="450" t="s">
        <v>841</v>
      </c>
      <c r="B93" s="430"/>
      <c r="C93" s="446"/>
      <c r="D93" s="446"/>
      <c r="E93" s="446"/>
      <c r="F93" s="452"/>
      <c r="G93" s="453"/>
      <c r="I93" s="416"/>
      <c r="J93" s="416"/>
      <c r="K93" s="416"/>
      <c r="L93" s="416"/>
      <c r="M93" s="416"/>
    </row>
    <row r="94" customFormat="false" ht="15" hidden="false" customHeight="false" outlineLevel="0" collapsed="false">
      <c r="A94" s="405" t="s">
        <v>7</v>
      </c>
      <c r="B94" s="433" t="e">
        <f aca="false">SUM(B90:B93)</f>
        <v>#NAME?</v>
      </c>
      <c r="C94" s="433" t="e">
        <f aca="false">SUM(C90:C93)</f>
        <v>#NAME?</v>
      </c>
      <c r="D94" s="433" t="e">
        <f aca="false">SUM(D90:D93)</f>
        <v>#NAME?</v>
      </c>
      <c r="E94" s="433" t="e">
        <f aca="false">SUM(E90:E93)</f>
        <v>#NAME?</v>
      </c>
      <c r="F94" s="433" t="e">
        <f aca="false">SUM(F90:F93)</f>
        <v>#NAME?</v>
      </c>
      <c r="G94" s="434" t="e">
        <f aca="false">SUM(G90:G93)</f>
        <v>#NAME?</v>
      </c>
      <c r="I94" s="416"/>
      <c r="J94" s="416"/>
      <c r="K94" s="416"/>
      <c r="L94" s="416"/>
      <c r="M94" s="416"/>
    </row>
    <row r="95" customFormat="false" ht="3.75" hidden="false" customHeight="true" outlineLevel="0" collapsed="false">
      <c r="A95" s="399"/>
      <c r="B95" s="409"/>
      <c r="C95" s="409"/>
      <c r="D95" s="409"/>
      <c r="E95" s="409"/>
      <c r="F95" s="410"/>
      <c r="G95" s="411"/>
      <c r="I95" s="416"/>
      <c r="J95" s="416"/>
      <c r="K95" s="416"/>
      <c r="L95" s="416"/>
      <c r="M95" s="416"/>
    </row>
    <row r="96" customFormat="false" ht="15" hidden="false" customHeight="false" outlineLevel="0" collapsed="false">
      <c r="A96" s="412" t="s">
        <v>671</v>
      </c>
      <c r="B96" s="412"/>
      <c r="C96" s="412"/>
      <c r="D96" s="412"/>
      <c r="E96" s="412"/>
      <c r="F96" s="412"/>
      <c r="G96" s="412"/>
      <c r="I96" s="416"/>
      <c r="J96" s="416"/>
      <c r="K96" s="416"/>
      <c r="L96" s="416"/>
      <c r="M96" s="416"/>
    </row>
    <row r="97" customFormat="false" ht="15" hidden="false" customHeight="false" outlineLevel="0" collapsed="false">
      <c r="A97" s="396" t="s">
        <v>672</v>
      </c>
      <c r="B97" s="397" t="s">
        <v>609</v>
      </c>
      <c r="C97" s="397" t="s">
        <v>610</v>
      </c>
      <c r="D97" s="397" t="s">
        <v>610</v>
      </c>
      <c r="E97" s="397" t="s">
        <v>610</v>
      </c>
      <c r="F97" s="397" t="s">
        <v>610</v>
      </c>
      <c r="G97" s="398" t="s">
        <v>610</v>
      </c>
      <c r="I97" s="416"/>
      <c r="J97" s="416"/>
      <c r="K97" s="416"/>
      <c r="L97" s="416"/>
      <c r="M97" s="416"/>
    </row>
    <row r="98" customFormat="false" ht="15" hidden="false" customHeight="false" outlineLevel="0" collapsed="false">
      <c r="A98" s="396"/>
      <c r="B98" s="397"/>
      <c r="C98" s="413" t="n">
        <v>0.02</v>
      </c>
      <c r="D98" s="413" t="n">
        <v>0.0001</v>
      </c>
      <c r="E98" s="413" t="n">
        <v>0.0001</v>
      </c>
      <c r="F98" s="413" t="n">
        <v>0.0001</v>
      </c>
      <c r="G98" s="413" t="n">
        <v>0.0303062467733608</v>
      </c>
      <c r="I98" s="416"/>
      <c r="J98" s="428"/>
      <c r="K98" s="428"/>
      <c r="L98" s="428"/>
      <c r="M98" s="428"/>
      <c r="N98" s="454" t="e">
        <f aca="false">#REF!</f>
        <v>#REF!</v>
      </c>
    </row>
    <row r="99" customFormat="false" ht="15" hidden="false" customHeight="false" outlineLevel="0" collapsed="false">
      <c r="A99" s="396"/>
      <c r="B99" s="397"/>
      <c r="C99" s="413" t="n">
        <v>0.050437</v>
      </c>
      <c r="D99" s="413" t="n">
        <v>0.015754</v>
      </c>
      <c r="E99" s="413" t="n">
        <v>0.052716776771696</v>
      </c>
      <c r="F99" s="413" t="n">
        <v>0.00445783276330103</v>
      </c>
      <c r="G99" s="413" t="n">
        <v>0.0388778264259504</v>
      </c>
      <c r="I99" s="416"/>
      <c r="J99" s="416"/>
      <c r="K99" s="454"/>
      <c r="L99" s="416"/>
      <c r="M99" s="416"/>
    </row>
    <row r="100" customFormat="false" ht="15" hidden="false" customHeight="false" outlineLevel="0" collapsed="false">
      <c r="A100" s="396" t="s">
        <v>673</v>
      </c>
      <c r="B100" s="413"/>
      <c r="C100" s="447" t="e">
        <f aca="false">ROUND((C$19+C$50+C$70+C$86+C$94)*C98,2)</f>
        <v>#REF!</v>
      </c>
      <c r="D100" s="447" t="e">
        <f aca="false">ROUND((D$19+D$50+D$70+D$86+D$94)*D98,2)</f>
        <v>#REF!</v>
      </c>
      <c r="E100" s="447" t="e">
        <f aca="false">ROUND((E$19+E$50+E$70+E$86+E$94)*E98,2)</f>
        <v>#REF!</v>
      </c>
      <c r="F100" s="447" t="e">
        <f aca="false">ROUND((F$19+F$50+F$70+F$86+F$94)*F98,2)</f>
        <v>#REF!</v>
      </c>
      <c r="G100" s="447" t="e">
        <f aca="false">ROUND((G$19+G$50+G$70+G$86+G$94)*G98,2)</f>
        <v>#REF!</v>
      </c>
      <c r="I100" s="416"/>
      <c r="J100" s="416"/>
      <c r="K100" s="416"/>
      <c r="L100" s="416"/>
      <c r="M100" s="416"/>
    </row>
    <row r="101" customFormat="false" ht="15" hidden="false" customHeight="false" outlineLevel="0" collapsed="false">
      <c r="A101" s="396" t="s">
        <v>674</v>
      </c>
      <c r="B101" s="413"/>
      <c r="C101" s="433" t="e">
        <f aca="false">ROUND((C$19+C$50+C$70+C$86+C$94+C$100)*C99,2)</f>
        <v>#REF!</v>
      </c>
      <c r="D101" s="433" t="e">
        <f aca="false">ROUND((D$19+D$50+D$70+D$86+D$94+D$100)*D99,2)</f>
        <v>#REF!</v>
      </c>
      <c r="E101" s="433" t="e">
        <f aca="false">ROUND((E$19+E$50+E$70+E$86+E$94+E$100)*E99,2)</f>
        <v>#REF!</v>
      </c>
      <c r="F101" s="433" t="e">
        <f aca="false">ROUND((F$19+F$50+F$70+F$86+F$94+F$100)*F99,2)</f>
        <v>#REF!</v>
      </c>
      <c r="G101" s="433" t="e">
        <f aca="false">ROUND((G$19+G$50+G$70+G$86+G$94+G$100)*G99,2)</f>
        <v>#REF!</v>
      </c>
      <c r="I101" s="416"/>
      <c r="J101" s="416"/>
      <c r="K101" s="416"/>
      <c r="L101" s="416"/>
      <c r="M101" s="423"/>
    </row>
    <row r="102" customFormat="false" ht="15" hidden="false" customHeight="false" outlineLevel="0" collapsed="false">
      <c r="A102" s="396" t="s">
        <v>865</v>
      </c>
      <c r="B102" s="414" t="n">
        <f aca="false">B103+B104</f>
        <v>0.0565</v>
      </c>
      <c r="C102" s="406" t="e">
        <f aca="false">SUM(C103:C104)</f>
        <v>#REF!</v>
      </c>
      <c r="D102" s="406" t="e">
        <f aca="false">SUM(D103:D104)</f>
        <v>#REF!</v>
      </c>
      <c r="E102" s="406" t="e">
        <f aca="false">SUM(E103:E104)</f>
        <v>#REF!</v>
      </c>
      <c r="F102" s="406" t="e">
        <f aca="false">SUM(F103:F104)</f>
        <v>#REF!</v>
      </c>
      <c r="G102" s="455" t="e">
        <f aca="false">SUM(G103:G104)</f>
        <v>#REF!</v>
      </c>
      <c r="I102" s="416"/>
      <c r="J102" s="416"/>
      <c r="K102" s="416"/>
      <c r="L102" s="416"/>
      <c r="M102" s="416"/>
    </row>
    <row r="103" customFormat="false" ht="15" hidden="false" customHeight="false" outlineLevel="0" collapsed="false">
      <c r="A103" s="399" t="s">
        <v>676</v>
      </c>
      <c r="B103" s="413" t="n">
        <v>0.0365</v>
      </c>
      <c r="C103" s="430" t="e">
        <f aca="false">ROUND((($C$19+$C$50+$C$70+$C$86+$C$94+$C$101+$C$100)/(1-($B$102)))*$B$103,2)</f>
        <v>#REF!</v>
      </c>
      <c r="D103" s="430" t="e">
        <f aca="false">ROUND((($D$19+$D$50+$D$70+$D$86+$D$94+$D$101+$D$100)/(1-($B$102)))*$B103,2)</f>
        <v>#REF!</v>
      </c>
      <c r="E103" s="430" t="e">
        <f aca="false">ROUND((($E$19+$E$50+$E$70+$E$86+$E$94+$E$101+$E$100)/(1-($B$102)))*$B103,2)</f>
        <v>#REF!</v>
      </c>
      <c r="F103" s="430" t="e">
        <f aca="false">ROUND(((F$19+F$50+F$70+F$86+F$94+F$101+F$100)/(1-($B$102)))*B103,2)</f>
        <v>#REF!</v>
      </c>
      <c r="G103" s="431" t="e">
        <f aca="false">ROUND(((G$19+G$50+G$70+G$86+G$94+G$101+G$100)/(1-($B$102)))*$B103,2)</f>
        <v>#REF!</v>
      </c>
      <c r="I103" s="416"/>
      <c r="J103" s="416"/>
      <c r="K103" s="416"/>
      <c r="L103" s="416"/>
      <c r="M103" s="416"/>
    </row>
    <row r="104" customFormat="false" ht="15" hidden="false" customHeight="false" outlineLevel="0" collapsed="false">
      <c r="A104" s="399" t="s">
        <v>677</v>
      </c>
      <c r="B104" s="413" t="n">
        <v>0.02</v>
      </c>
      <c r="C104" s="446" t="e">
        <f aca="false">ROUND((($C$19+$C$50+$C$70+$C$86+$C$94+$C$100+$C$101)/(1-($B$102)))*$B$104,2)</f>
        <v>#REF!</v>
      </c>
      <c r="D104" s="446" t="e">
        <f aca="false">ROUND((($D$19+$D$50+$D$70+$D$86+$D$94+$D$100+$D$101)/(1-($B$102)))*$B104,2)</f>
        <v>#REF!</v>
      </c>
      <c r="E104" s="446" t="e">
        <f aca="false">ROUND((($E$19+$E$50+$E$70+$E$86+$E$94+$E$100+$E$101)/(1-($B$102)))*$B104,2)</f>
        <v>#REF!</v>
      </c>
      <c r="F104" s="446" t="e">
        <f aca="false">ROUND((($F$19+$F$50+$F$70+$F$86+$F$94+$F$100+$F$101)/(1-($B$102)))*B104,2)</f>
        <v>#REF!</v>
      </c>
      <c r="G104" s="453" t="e">
        <f aca="false">ROUND((($G$19+$G$50+$G$70+$G$86+$G$94+$G$100+$G$101)/(1-($B$102)))*$B104,2)</f>
        <v>#REF!</v>
      </c>
      <c r="I104" s="416"/>
      <c r="J104" s="416"/>
      <c r="K104" s="416"/>
      <c r="L104" s="416"/>
      <c r="M104" s="416"/>
    </row>
    <row r="105" customFormat="false" ht="15" hidden="false" customHeight="false" outlineLevel="0" collapsed="false">
      <c r="A105" s="396" t="s">
        <v>866</v>
      </c>
      <c r="B105" s="414" t="n">
        <f aca="false">B106+B107</f>
        <v>0.0615</v>
      </c>
      <c r="C105" s="397" t="e">
        <f aca="false">SUM(C106:C107)</f>
        <v>#REF!</v>
      </c>
      <c r="D105" s="397" t="e">
        <f aca="false">SUM(D106:D107)</f>
        <v>#REF!</v>
      </c>
      <c r="E105" s="397" t="e">
        <f aca="false">SUM(E106:E107)</f>
        <v>#REF!</v>
      </c>
      <c r="F105" s="397" t="e">
        <f aca="false">SUM(F106:F107)</f>
        <v>#REF!</v>
      </c>
      <c r="G105" s="398" t="e">
        <f aca="false">SUM(G106:G107)</f>
        <v>#REF!</v>
      </c>
      <c r="I105" s="416"/>
      <c r="J105" s="416"/>
      <c r="K105" s="416"/>
      <c r="L105" s="416"/>
      <c r="M105" s="416"/>
    </row>
    <row r="106" customFormat="false" ht="15" hidden="false" customHeight="false" outlineLevel="0" collapsed="false">
      <c r="A106" s="399" t="s">
        <v>676</v>
      </c>
      <c r="B106" s="413" t="n">
        <v>0.0365</v>
      </c>
      <c r="C106" s="446" t="e">
        <f aca="false">ROUND((($C$19+$C$50+$C$70+$C$86+$C$94+$C$101+$C$100)/(1-($B$105)))*$B$106,2)</f>
        <v>#REF!</v>
      </c>
      <c r="D106" s="446" t="e">
        <f aca="false">ROUND((($D$19+$D$50+$D$70+$D$86+$D$94+$D$101+$D$100)/(1-($B$105)))*$B106,2)</f>
        <v>#REF!</v>
      </c>
      <c r="E106" s="446" t="e">
        <f aca="false">ROUND((($E$19+$E$50+$E$70+$E$86+$E$94+$E$101+$E$100)/(1-($B$105)))*$B106,2)</f>
        <v>#REF!</v>
      </c>
      <c r="F106" s="446" t="e">
        <f aca="false">ROUND(((F$19+F$50+F$70+F$86+F$94+F$101+F$100)/(1-($B$105)))*B106,2)</f>
        <v>#REF!</v>
      </c>
      <c r="G106" s="453" t="e">
        <f aca="false">ROUND(((G$19+G$50+G$70+G$86+G$94+G$101+G$100)/(1-($B$105)))*$B106,2)</f>
        <v>#REF!</v>
      </c>
      <c r="I106" s="416"/>
      <c r="J106" s="416"/>
      <c r="K106" s="416"/>
      <c r="L106" s="416"/>
      <c r="M106" s="416"/>
    </row>
    <row r="107" customFormat="false" ht="15" hidden="false" customHeight="false" outlineLevel="0" collapsed="false">
      <c r="A107" s="399" t="s">
        <v>677</v>
      </c>
      <c r="B107" s="413" t="n">
        <v>0.025</v>
      </c>
      <c r="C107" s="446" t="e">
        <f aca="false">ROUND((($C$19+$C$50+$C$70+$C$86+$C$94+$C$100+$C$101)/(1-($B$105)))*$B$107,2)</f>
        <v>#REF!</v>
      </c>
      <c r="D107" s="446" t="e">
        <f aca="false">ROUND((($D$19+$D$50+$D$70+$D$86+$D$94+$D$100+$D$101)/(1-($B$105)))*$B107,2)</f>
        <v>#REF!</v>
      </c>
      <c r="E107" s="446" t="e">
        <f aca="false">ROUND((($E$19+$E$50+$E$70+$E$86+$E$94+$E$100+$E$101)/(1-($B$105)))*$B107,2)</f>
        <v>#REF!</v>
      </c>
      <c r="F107" s="446" t="e">
        <f aca="false">ROUND((($F$19+$F$50+$F$70+$F$86+$F$94+$F$100+$F$101)/(1-($B$105)))*B107,2)</f>
        <v>#REF!</v>
      </c>
      <c r="G107" s="453" t="e">
        <f aca="false">ROUND((($G$19+$G$50+$G$70+$G$86+$G$94+$G$100+$G$101)/(1-($B$105)))*$B107,2)</f>
        <v>#REF!</v>
      </c>
      <c r="I107" s="416"/>
      <c r="J107" s="416"/>
      <c r="K107" s="416"/>
      <c r="L107" s="416"/>
      <c r="M107" s="416"/>
    </row>
    <row r="108" customFormat="false" ht="15" hidden="false" customHeight="false" outlineLevel="0" collapsed="false">
      <c r="A108" s="396" t="s">
        <v>867</v>
      </c>
      <c r="B108" s="414" t="n">
        <f aca="false">B109+B110</f>
        <v>0.0665</v>
      </c>
      <c r="C108" s="397" t="e">
        <f aca="false">SUM(C109:C110)</f>
        <v>#REF!</v>
      </c>
      <c r="D108" s="397" t="e">
        <f aca="false">SUM(D109:D110)</f>
        <v>#REF!</v>
      </c>
      <c r="E108" s="397" t="e">
        <f aca="false">SUM(E109:E110)</f>
        <v>#REF!</v>
      </c>
      <c r="F108" s="397" t="e">
        <f aca="false">SUM(F109:F110)</f>
        <v>#REF!</v>
      </c>
      <c r="G108" s="398" t="e">
        <f aca="false">SUM(G109:G110)</f>
        <v>#REF!</v>
      </c>
      <c r="I108" s="416"/>
      <c r="J108" s="416"/>
      <c r="K108" s="416"/>
      <c r="L108" s="416"/>
      <c r="M108" s="416"/>
    </row>
    <row r="109" customFormat="false" ht="15" hidden="false" customHeight="false" outlineLevel="0" collapsed="false">
      <c r="A109" s="399" t="s">
        <v>676</v>
      </c>
      <c r="B109" s="413" t="n">
        <v>0.0365</v>
      </c>
      <c r="C109" s="446" t="e">
        <f aca="false">ROUND((($C$19+$C$50+$C$70+$C$86+$C$94+$C$101+$C$100)/(1-($B$108)))*$B$109,2)</f>
        <v>#REF!</v>
      </c>
      <c r="D109" s="446" t="e">
        <f aca="false">ROUND((($D$19+$D$50+$D$70+$D$86+$D$94+$D$101+$D$100)/(1-($B$108)))*$B109,2)</f>
        <v>#REF!</v>
      </c>
      <c r="E109" s="446" t="e">
        <f aca="false">ROUND((($E$19+$E$50+$E$70+$E$86+$E$94+$E$101+$E$100)/(1-($B$108)))*$B109,2)</f>
        <v>#REF!</v>
      </c>
      <c r="F109" s="446" t="e">
        <f aca="false">ROUND(((F$19+F$50+F$70+F$86+F$94+F$101+F$100)/(1-($B$108)))*B109,2)</f>
        <v>#REF!</v>
      </c>
      <c r="G109" s="453" t="e">
        <f aca="false">ROUND(((G$19+G$50+G$70+G$86+G$94+G$101+G$100)/(1-($B$108)))*$B109,2)</f>
        <v>#REF!</v>
      </c>
      <c r="I109" s="416"/>
      <c r="J109" s="416"/>
      <c r="K109" s="416"/>
      <c r="L109" s="416"/>
      <c r="M109" s="416"/>
    </row>
    <row r="110" customFormat="false" ht="15" hidden="false" customHeight="false" outlineLevel="0" collapsed="false">
      <c r="A110" s="399" t="s">
        <v>677</v>
      </c>
      <c r="B110" s="413" t="n">
        <v>0.03</v>
      </c>
      <c r="C110" s="446" t="e">
        <f aca="false">ROUND((($C$19+$C$50+$C$70+$C$86+$C$94+$C$100+$C$101)/(1-($B$108)))*B110,2)</f>
        <v>#REF!</v>
      </c>
      <c r="D110" s="446" t="e">
        <f aca="false">ROUND((($D$19+$D$50+$D$70+$D$86+$D$94+$D$100+$D$101)/(1-($B$108)))*$B110,2)</f>
        <v>#REF!</v>
      </c>
      <c r="E110" s="446" t="e">
        <f aca="false">ROUND((($E$19+$E$50+$E$70+$E$86+$E$94+$E$100+$E$101)/(1-($B$108)))*$B110,2)</f>
        <v>#REF!</v>
      </c>
      <c r="F110" s="452" t="e">
        <f aca="false">ROUND((($F$19+$F$50+$F$70+$F$86+$F$94+$F$100+$F$101)/(1-($B$108)))*B110,2)</f>
        <v>#REF!</v>
      </c>
      <c r="G110" s="453" t="e">
        <f aca="false">ROUND((($G$19+$G$50+$G$70+$G$86+$G$94+$G$100+$G$101)/(1-($B$108)))*$B110,2)</f>
        <v>#REF!</v>
      </c>
      <c r="I110" s="416"/>
      <c r="J110" s="416"/>
      <c r="K110" s="416"/>
      <c r="L110" s="416"/>
      <c r="M110" s="416"/>
    </row>
    <row r="111" customFormat="false" ht="15" hidden="false" customHeight="false" outlineLevel="0" collapsed="false">
      <c r="A111" s="396" t="s">
        <v>868</v>
      </c>
      <c r="B111" s="414" t="n">
        <f aca="false">B112+B113</f>
        <v>0.0715</v>
      </c>
      <c r="C111" s="397" t="e">
        <f aca="false">SUM(C112:C113)</f>
        <v>#REF!</v>
      </c>
      <c r="D111" s="397" t="e">
        <f aca="false">SUM(D112:D113)</f>
        <v>#REF!</v>
      </c>
      <c r="E111" s="397" t="e">
        <f aca="false">SUM(E112:E113)</f>
        <v>#REF!</v>
      </c>
      <c r="F111" s="397" t="e">
        <f aca="false">SUM(F112:F113)</f>
        <v>#REF!</v>
      </c>
      <c r="G111" s="398" t="e">
        <f aca="false">SUM(G112:G113)</f>
        <v>#REF!</v>
      </c>
      <c r="I111" s="416"/>
      <c r="J111" s="416"/>
      <c r="K111" s="416"/>
      <c r="L111" s="416"/>
      <c r="M111" s="416"/>
    </row>
    <row r="112" customFormat="false" ht="15" hidden="false" customHeight="false" outlineLevel="0" collapsed="false">
      <c r="A112" s="399" t="s">
        <v>676</v>
      </c>
      <c r="B112" s="413" t="n">
        <v>0.0365</v>
      </c>
      <c r="C112" s="446" t="e">
        <f aca="false">ROUND((($C$19+$C$50+$C$70+$C$86+$C$94+$C$101+$C$100)/(1-($B$111)))*B112,2)</f>
        <v>#REF!</v>
      </c>
      <c r="D112" s="446" t="e">
        <f aca="false">ROUND((($D$19+$D$50+$D$70+$D$86+$D$94+$D$101+$D$100)/(1-($B$111)))*$B112,2)</f>
        <v>#REF!</v>
      </c>
      <c r="E112" s="446" t="e">
        <f aca="false">ROUND((($E$19+$E$50+$E$70+$E$86+$E$94+$E$101+$E$100)/(1-($B$111)))*$B112,2)</f>
        <v>#REF!</v>
      </c>
      <c r="F112" s="452" t="e">
        <f aca="false">ROUND(((F$19+F$50+F$70+F$86+F$94+F$101+F$100)/(1-($B$111)))*B112,2)</f>
        <v>#REF!</v>
      </c>
      <c r="G112" s="431" t="e">
        <f aca="false">ROUND(((G$19+G$50+G$70+G$86+G$94+G$101+G$100)/(1-($B$111)))*$B112,2)</f>
        <v>#REF!</v>
      </c>
      <c r="I112" s="416"/>
      <c r="J112" s="416"/>
      <c r="K112" s="416"/>
      <c r="L112" s="416"/>
      <c r="M112" s="416"/>
    </row>
    <row r="113" customFormat="false" ht="15" hidden="false" customHeight="false" outlineLevel="0" collapsed="false">
      <c r="A113" s="399" t="s">
        <v>677</v>
      </c>
      <c r="B113" s="413" t="n">
        <v>0.035</v>
      </c>
      <c r="C113" s="446" t="e">
        <f aca="false">ROUND((($C$19+$C$50+$C$70+$C$86+$C$94+$C$100+$C$101)/(1-($B$111)))*B113,2)</f>
        <v>#REF!</v>
      </c>
      <c r="D113" s="446" t="e">
        <f aca="false">ROUND((($D$19+$D$50+$D$70+$D$86+$D$94+$D$100+$D$101)/(1-($B$111)))*$B113,2)</f>
        <v>#REF!</v>
      </c>
      <c r="E113" s="446" t="e">
        <f aca="false">ROUND((($E$19+$E$50+$E$70+$E$86+$E$94+$E$100+$E$101)/(1-($B$111)))*$B113,2)</f>
        <v>#REF!</v>
      </c>
      <c r="F113" s="451" t="e">
        <f aca="false">ROUND((($F$19+$F$50+$F$70+$F$86+$F$94+$F$100+$F$101)/(1-($B$111)))*B113,2)</f>
        <v>#REF!</v>
      </c>
      <c r="G113" s="453" t="e">
        <f aca="false">ROUND((($G$19+$G$50+$G$70+$G$86+$G$94+$G$100+$G$101)/(1-($B$111)))*$B113,2)</f>
        <v>#REF!</v>
      </c>
      <c r="I113" s="416"/>
      <c r="J113" s="416"/>
      <c r="K113" s="416"/>
      <c r="L113" s="416"/>
      <c r="M113" s="416"/>
    </row>
    <row r="114" customFormat="false" ht="15" hidden="false" customHeight="false" outlineLevel="0" collapsed="false">
      <c r="A114" s="396" t="s">
        <v>869</v>
      </c>
      <c r="B114" s="414" t="n">
        <f aca="false">B115+B116</f>
        <v>0.0765</v>
      </c>
      <c r="C114" s="397" t="e">
        <f aca="false">SUM(C115:C116)</f>
        <v>#REF!</v>
      </c>
      <c r="D114" s="397" t="e">
        <f aca="false">SUM(D115:D116)</f>
        <v>#REF!</v>
      </c>
      <c r="E114" s="397" t="e">
        <f aca="false">SUM(E115:E116)</f>
        <v>#REF!</v>
      </c>
      <c r="F114" s="397" t="e">
        <f aca="false">SUM(F115:F116)</f>
        <v>#REF!</v>
      </c>
      <c r="G114" s="398" t="e">
        <f aca="false">SUM(G115:G116)</f>
        <v>#REF!</v>
      </c>
      <c r="I114" s="416"/>
      <c r="J114" s="416"/>
      <c r="K114" s="416"/>
      <c r="L114" s="416"/>
      <c r="M114" s="416"/>
    </row>
    <row r="115" customFormat="false" ht="15" hidden="false" customHeight="false" outlineLevel="0" collapsed="false">
      <c r="A115" s="399" t="s">
        <v>676</v>
      </c>
      <c r="B115" s="413" t="n">
        <v>0.0365</v>
      </c>
      <c r="C115" s="446" t="e">
        <f aca="false">ROUND((($C$19+$C$50+$C$70+$C$86+$C$94+$C$101+$C$100)/(1-($B$114)))*B115,2)</f>
        <v>#REF!</v>
      </c>
      <c r="D115" s="446" t="e">
        <f aca="false">ROUND((($D$19+$D$50+$D$70+$D$86+$D$94+$D$101+$D$100)/(1-($B$114)))*$B115,2)</f>
        <v>#REF!</v>
      </c>
      <c r="E115" s="446" t="e">
        <f aca="false">ROUND((($E$19+$E$50+$E$70+$E$86+$E$94+$E$101+$E$100)/(1-($B$114)))*$B115,2)</f>
        <v>#REF!</v>
      </c>
      <c r="F115" s="452" t="e">
        <f aca="false">ROUND(((F$19+F$50+F$70+F$86+F$94+F$101+F$100)/(1-($B$114)))*B115,2)</f>
        <v>#REF!</v>
      </c>
      <c r="G115" s="453" t="e">
        <f aca="false">ROUND(((G$19+G$50+G$70+G$86+G$94+G$101+G$100)/(1-($B$114)))*$B115,2)</f>
        <v>#REF!</v>
      </c>
      <c r="I115" s="416"/>
      <c r="J115" s="416"/>
      <c r="K115" s="416"/>
      <c r="L115" s="416"/>
      <c r="M115" s="416"/>
    </row>
    <row r="116" customFormat="false" ht="15" hidden="false" customHeight="false" outlineLevel="0" collapsed="false">
      <c r="A116" s="399" t="s">
        <v>677</v>
      </c>
      <c r="B116" s="413" t="n">
        <v>0.04</v>
      </c>
      <c r="C116" s="446" t="e">
        <f aca="false">ROUND((($C$19+$C$50+$C$70+$C$86+$C$94+$C$100+$C$101)/(1-($B$114)))*B116,2)</f>
        <v>#REF!</v>
      </c>
      <c r="D116" s="446" t="e">
        <f aca="false">ROUND((($D$19+$D$50+$D$70+$D$86+$D$94+$D$100+$D$101)/(1-($B$114)))*$B116,2)</f>
        <v>#REF!</v>
      </c>
      <c r="E116" s="446" t="e">
        <f aca="false">ROUND((($E$19+$E$50+$E$70+$E$86+$E$94+$E$100+$E$101)/(1-($B$114)))*$B116,2)</f>
        <v>#REF!</v>
      </c>
      <c r="F116" s="452" t="e">
        <f aca="false">ROUND((($F$19+$F$50+$F$70+$F$86+$F$94+$F$100+$F$101)/(1-($B$114)))*B116,2)</f>
        <v>#REF!</v>
      </c>
      <c r="G116" s="453" t="e">
        <f aca="false">ROUND((($G$19+$G$50+$G$70+$G$86+$G$94+$G$100+$G$101)/(1-($B$114)))*$B116,2)</f>
        <v>#REF!</v>
      </c>
      <c r="I116" s="416"/>
      <c r="J116" s="416"/>
      <c r="K116" s="416"/>
      <c r="L116" s="416"/>
      <c r="M116" s="416"/>
    </row>
    <row r="117" customFormat="false" ht="15" hidden="false" customHeight="false" outlineLevel="0" collapsed="false">
      <c r="A117" s="396" t="s">
        <v>870</v>
      </c>
      <c r="B117" s="414" t="n">
        <f aca="false">B118+B119</f>
        <v>0.0865</v>
      </c>
      <c r="C117" s="397" t="e">
        <f aca="false">SUM(C118:C119)</f>
        <v>#REF!</v>
      </c>
      <c r="D117" s="397" t="e">
        <f aca="false">SUM(D118:D119)</f>
        <v>#REF!</v>
      </c>
      <c r="E117" s="397" t="e">
        <f aca="false">SUM(E118:E119)</f>
        <v>#REF!</v>
      </c>
      <c r="F117" s="397" t="e">
        <f aca="false">SUM(F118:F119)</f>
        <v>#REF!</v>
      </c>
      <c r="G117" s="398" t="e">
        <f aca="false">SUM(G118:G119)</f>
        <v>#REF!</v>
      </c>
      <c r="I117" s="416"/>
      <c r="J117" s="416"/>
      <c r="K117" s="416"/>
      <c r="L117" s="416"/>
      <c r="M117" s="416"/>
    </row>
    <row r="118" customFormat="false" ht="15" hidden="false" customHeight="false" outlineLevel="0" collapsed="false">
      <c r="A118" s="399" t="s">
        <v>676</v>
      </c>
      <c r="B118" s="413" t="n">
        <v>0.0365</v>
      </c>
      <c r="C118" s="446" t="e">
        <f aca="false">ROUND((($C$19+$C$50+$C$70+$C$86+$C$94+$C$101+$C$100)/(1-($B$117)))*B118,2)</f>
        <v>#REF!</v>
      </c>
      <c r="D118" s="446" t="e">
        <f aca="false">ROUND((($D$19+$D$50+$D$70+$D$86+$D$94+$D$101+$D$100)/(1-($B$117)))*$B118,2)</f>
        <v>#REF!</v>
      </c>
      <c r="E118" s="446" t="e">
        <f aca="false">ROUND((($E$19+$E$50+$E$70+$E$86+$E$94+$E$101+$E$100)/(1-($B$117)))*$B118,2)</f>
        <v>#REF!</v>
      </c>
      <c r="F118" s="452" t="e">
        <f aca="false">ROUND(((F$19+F$50+F$70+F$86+F$94+F$101+F$100)/(1-($B$117)))*B118,2)</f>
        <v>#REF!</v>
      </c>
      <c r="G118" s="453" t="e">
        <f aca="false">ROUND(((G$19+G$50+G$70+G$86+G$94+G$101+G$100)/(1-($B$117)))*$B118,2)</f>
        <v>#REF!</v>
      </c>
      <c r="I118" s="416"/>
      <c r="J118" s="416"/>
      <c r="K118" s="416"/>
      <c r="L118" s="416"/>
      <c r="M118" s="416"/>
    </row>
    <row r="119" customFormat="false" ht="15" hidden="false" customHeight="false" outlineLevel="0" collapsed="false">
      <c r="A119" s="456" t="s">
        <v>677</v>
      </c>
      <c r="B119" s="457" t="n">
        <v>0.05</v>
      </c>
      <c r="C119" s="458" t="e">
        <f aca="false">ROUND((($C$19+$C$50+$C$70+$C$86+$C$94+$C$100+$C$101)/(1-($B$117)))*B119,2)</f>
        <v>#REF!</v>
      </c>
      <c r="D119" s="458" t="e">
        <f aca="false">ROUND((($D$19+$D$50+$D$70+$D$86+$D$94+$D$100+$D$101)/(1-($B$117)))*$B119,2)</f>
        <v>#REF!</v>
      </c>
      <c r="E119" s="458" t="e">
        <f aca="false">ROUND((($E$19+$E$50+$E$70+$E$86+$E$94+$E$100+$E$101)/(1-($B$117)))*$B119,2)</f>
        <v>#REF!</v>
      </c>
      <c r="F119" s="459" t="e">
        <f aca="false">ROUND((($F$19+$F$50+$F$70+$F$86+$F$94+$F$100+$F$101)/(1-($B$117)))*B119,2)</f>
        <v>#REF!</v>
      </c>
      <c r="G119" s="460" t="e">
        <f aca="false">ROUND((($G$19+$G$50+$G$70+$G$86+$G$94+$G$100+$G$101)/(1-($B$117)))*$B119,2)</f>
        <v>#REF!</v>
      </c>
      <c r="I119" s="416"/>
      <c r="J119" s="416"/>
      <c r="K119" s="416"/>
      <c r="L119" s="416"/>
      <c r="M119" s="416"/>
    </row>
    <row r="120" customFormat="false" ht="15" hidden="false" customHeight="false" outlineLevel="0" collapsed="false">
      <c r="A120" s="392" t="s">
        <v>683</v>
      </c>
      <c r="B120" s="461" t="n">
        <v>0.02</v>
      </c>
      <c r="C120" s="462" t="e">
        <f aca="false">SUM(C100:C102)</f>
        <v>#REF!</v>
      </c>
      <c r="D120" s="462" t="e">
        <f aca="false">SUM(D100:D102)</f>
        <v>#REF!</v>
      </c>
      <c r="E120" s="462" t="e">
        <f aca="false">SUM(E100:E102)</f>
        <v>#REF!</v>
      </c>
      <c r="F120" s="462" t="e">
        <f aca="false">SUM(F100:F102)</f>
        <v>#REF!</v>
      </c>
      <c r="G120" s="463" t="e">
        <f aca="false">SUM(G100:G102)</f>
        <v>#REF!</v>
      </c>
      <c r="I120" s="416"/>
      <c r="J120" s="416"/>
      <c r="K120" s="416"/>
      <c r="L120" s="416"/>
      <c r="M120" s="416"/>
    </row>
    <row r="121" customFormat="false" ht="15" hidden="false" customHeight="false" outlineLevel="0" collapsed="false">
      <c r="A121" s="392"/>
      <c r="B121" s="414" t="n">
        <v>0.025</v>
      </c>
      <c r="C121" s="407" t="e">
        <f aca="false">SUM(C100:C101,C105)</f>
        <v>#REF!</v>
      </c>
      <c r="D121" s="407" t="e">
        <f aca="false">SUM(D100:D101,D105)</f>
        <v>#REF!</v>
      </c>
      <c r="E121" s="407" t="e">
        <f aca="false">SUM(E100:E101,E105)</f>
        <v>#REF!</v>
      </c>
      <c r="F121" s="407" t="e">
        <f aca="false">SUM(F100:F101,F105)</f>
        <v>#REF!</v>
      </c>
      <c r="G121" s="408" t="e">
        <f aca="false">SUM(G100:G101,G105)</f>
        <v>#REF!</v>
      </c>
      <c r="I121" s="416"/>
      <c r="J121" s="416"/>
      <c r="K121" s="416"/>
      <c r="L121" s="416"/>
      <c r="M121" s="416"/>
    </row>
    <row r="122" customFormat="false" ht="15" hidden="false" customHeight="false" outlineLevel="0" collapsed="false">
      <c r="A122" s="392"/>
      <c r="B122" s="414" t="n">
        <v>0.03</v>
      </c>
      <c r="C122" s="407" t="e">
        <f aca="false">SUM(C100:C101,C108)</f>
        <v>#REF!</v>
      </c>
      <c r="D122" s="407" t="e">
        <f aca="false">SUM(D100:D101,D108)</f>
        <v>#REF!</v>
      </c>
      <c r="E122" s="407" t="e">
        <f aca="false">SUM(E100:E101,E108)</f>
        <v>#REF!</v>
      </c>
      <c r="F122" s="407" t="e">
        <f aca="false">SUM(F100:F101,F108)</f>
        <v>#REF!</v>
      </c>
      <c r="G122" s="408" t="e">
        <f aca="false">SUM(G100:G101,G108)</f>
        <v>#REF!</v>
      </c>
      <c r="I122" s="416"/>
      <c r="J122" s="416"/>
      <c r="K122" s="416"/>
      <c r="L122" s="416"/>
      <c r="M122" s="416"/>
    </row>
    <row r="123" customFormat="false" ht="15" hidden="false" customHeight="false" outlineLevel="0" collapsed="false">
      <c r="A123" s="392"/>
      <c r="B123" s="414" t="n">
        <v>0.035</v>
      </c>
      <c r="C123" s="407" t="e">
        <f aca="false">SUM(C100:C101,C111)</f>
        <v>#REF!</v>
      </c>
      <c r="D123" s="407" t="e">
        <f aca="false">SUM(D100:D101,D111)</f>
        <v>#REF!</v>
      </c>
      <c r="E123" s="407" t="e">
        <f aca="false">SUM(E100:E101,E111)</f>
        <v>#REF!</v>
      </c>
      <c r="F123" s="407" t="e">
        <f aca="false">SUM(F100:F101,F111)</f>
        <v>#REF!</v>
      </c>
      <c r="G123" s="408" t="e">
        <f aca="false">SUM(G100:G101,G111)</f>
        <v>#REF!</v>
      </c>
      <c r="I123" s="416"/>
      <c r="J123" s="416"/>
      <c r="K123" s="416"/>
      <c r="L123" s="416"/>
      <c r="M123" s="416"/>
    </row>
    <row r="124" customFormat="false" ht="15" hidden="false" customHeight="false" outlineLevel="0" collapsed="false">
      <c r="A124" s="392"/>
      <c r="B124" s="414" t="n">
        <v>0.04</v>
      </c>
      <c r="C124" s="407" t="e">
        <f aca="false">SUM(C100:C101,C114)</f>
        <v>#REF!</v>
      </c>
      <c r="D124" s="407" t="e">
        <f aca="false">SUM(D100:D101,D114)</f>
        <v>#REF!</v>
      </c>
      <c r="E124" s="407" t="e">
        <f aca="false">SUM(E100:E101,E114)</f>
        <v>#REF!</v>
      </c>
      <c r="F124" s="407" t="e">
        <f aca="false">SUM(F100:F101,F114)</f>
        <v>#REF!</v>
      </c>
      <c r="G124" s="408" t="e">
        <f aca="false">SUM(G100:G101,G114)</f>
        <v>#REF!</v>
      </c>
      <c r="I124" s="416"/>
      <c r="J124" s="416"/>
      <c r="K124" s="416"/>
      <c r="L124" s="416"/>
      <c r="M124" s="416"/>
    </row>
    <row r="125" customFormat="false" ht="15" hidden="false" customHeight="false" outlineLevel="0" collapsed="false">
      <c r="A125" s="392"/>
      <c r="B125" s="464" t="n">
        <v>0.05</v>
      </c>
      <c r="C125" s="465" t="e">
        <f aca="false">SUM(C100:C101,C117)</f>
        <v>#REF!</v>
      </c>
      <c r="D125" s="465" t="e">
        <f aca="false">SUM(D100:D101,D117)</f>
        <v>#REF!</v>
      </c>
      <c r="E125" s="465" t="e">
        <f aca="false">SUM(E100:E101,E117)</f>
        <v>#REF!</v>
      </c>
      <c r="F125" s="465" t="e">
        <f aca="false">SUM(F100:F101,F117)</f>
        <v>#REF!</v>
      </c>
      <c r="G125" s="466" t="e">
        <f aca="false">SUM(G100:G101,G117)</f>
        <v>#REF!</v>
      </c>
      <c r="I125" s="416"/>
      <c r="J125" s="416"/>
      <c r="K125" s="416"/>
      <c r="L125" s="416"/>
      <c r="M125" s="416"/>
    </row>
    <row r="126" customFormat="false" ht="15" hidden="false" customHeight="false" outlineLevel="0" collapsed="false">
      <c r="A126" s="467"/>
      <c r="B126" s="349"/>
      <c r="C126" s="349"/>
      <c r="D126" s="349"/>
      <c r="E126" s="349"/>
      <c r="F126" s="349"/>
      <c r="G126" s="391"/>
      <c r="I126" s="416"/>
      <c r="J126" s="416"/>
      <c r="K126" s="416"/>
      <c r="L126" s="416"/>
      <c r="M126" s="416"/>
    </row>
    <row r="127" customFormat="false" ht="15" hidden="false" customHeight="false" outlineLevel="0" collapsed="false">
      <c r="A127" s="467"/>
      <c r="B127" s="349"/>
      <c r="C127" s="349"/>
      <c r="D127" s="349"/>
      <c r="E127" s="349"/>
      <c r="F127" s="349"/>
      <c r="G127" s="391"/>
      <c r="I127" s="416"/>
      <c r="J127" s="416"/>
      <c r="K127" s="416"/>
      <c r="L127" s="416"/>
      <c r="M127" s="416"/>
    </row>
    <row r="128" customFormat="false" ht="15" hidden="false" customHeight="false" outlineLevel="0" collapsed="false">
      <c r="A128" s="468" t="s">
        <v>871</v>
      </c>
      <c r="B128" s="468"/>
      <c r="C128" s="468"/>
      <c r="D128" s="468"/>
      <c r="E128" s="468"/>
      <c r="F128" s="468"/>
      <c r="G128" s="468"/>
      <c r="I128" s="415"/>
      <c r="J128" s="415"/>
      <c r="K128" s="415"/>
      <c r="L128" s="415"/>
      <c r="M128" s="415"/>
    </row>
    <row r="129" customFormat="false" ht="15" hidden="false" customHeight="false" outlineLevel="0" collapsed="false">
      <c r="A129" s="469" t="s">
        <v>872</v>
      </c>
      <c r="B129" s="469"/>
      <c r="C129" s="469"/>
      <c r="D129" s="469"/>
      <c r="E129" s="469"/>
      <c r="F129" s="469"/>
      <c r="G129" s="469"/>
      <c r="I129" s="415"/>
      <c r="J129" s="415"/>
      <c r="K129" s="415"/>
      <c r="L129" s="415"/>
      <c r="M129" s="415"/>
    </row>
    <row r="130" customFormat="false" ht="15" hidden="false" customHeight="false" outlineLevel="0" collapsed="false">
      <c r="A130" s="470" t="s">
        <v>687</v>
      </c>
      <c r="B130" s="470"/>
      <c r="C130" s="471" t="e">
        <f aca="false">C19</f>
        <v>#REF!</v>
      </c>
      <c r="D130" s="471" t="e">
        <f aca="false">D19</f>
        <v>#REF!</v>
      </c>
      <c r="E130" s="471" t="e">
        <f aca="false">E19</f>
        <v>#REF!</v>
      </c>
      <c r="F130" s="471" t="e">
        <f aca="false">F19</f>
        <v>#REF!</v>
      </c>
      <c r="G130" s="472" t="e">
        <f aca="false">G19</f>
        <v>#REF!</v>
      </c>
      <c r="I130" s="416"/>
      <c r="J130" s="416"/>
      <c r="K130" s="416"/>
      <c r="L130" s="416"/>
      <c r="M130" s="416"/>
    </row>
    <row r="131" customFormat="false" ht="15" hidden="false" customHeight="false" outlineLevel="0" collapsed="false">
      <c r="A131" s="473" t="s">
        <v>688</v>
      </c>
      <c r="B131" s="473"/>
      <c r="C131" s="401" t="e">
        <f aca="false">C50</f>
        <v>#REF!</v>
      </c>
      <c r="D131" s="401" t="e">
        <f aca="false">D50</f>
        <v>#REF!</v>
      </c>
      <c r="E131" s="401" t="e">
        <f aca="false">E50</f>
        <v>#REF!</v>
      </c>
      <c r="F131" s="401" t="e">
        <f aca="false">F50</f>
        <v>#REF!</v>
      </c>
      <c r="G131" s="403" t="e">
        <f aca="false">G50</f>
        <v>#REF!</v>
      </c>
      <c r="I131" s="416"/>
      <c r="J131" s="416"/>
      <c r="K131" s="416"/>
      <c r="L131" s="416"/>
      <c r="M131" s="416"/>
    </row>
    <row r="132" customFormat="false" ht="15" hidden="false" customHeight="false" outlineLevel="0" collapsed="false">
      <c r="A132" s="473" t="s">
        <v>689</v>
      </c>
      <c r="B132" s="473"/>
      <c r="C132" s="401" t="e">
        <f aca="false">C70</f>
        <v>#REF!</v>
      </c>
      <c r="D132" s="401" t="e">
        <f aca="false">D70</f>
        <v>#REF!</v>
      </c>
      <c r="E132" s="401" t="e">
        <f aca="false">E70</f>
        <v>#REF!</v>
      </c>
      <c r="F132" s="401" t="e">
        <f aca="false">F70</f>
        <v>#REF!</v>
      </c>
      <c r="G132" s="403" t="e">
        <f aca="false">G70</f>
        <v>#REF!</v>
      </c>
      <c r="I132" s="416"/>
      <c r="J132" s="416"/>
      <c r="K132" s="416"/>
      <c r="L132" s="416"/>
      <c r="M132" s="416"/>
    </row>
    <row r="133" customFormat="false" ht="15" hidden="false" customHeight="false" outlineLevel="0" collapsed="false">
      <c r="A133" s="473" t="s">
        <v>690</v>
      </c>
      <c r="B133" s="473"/>
      <c r="C133" s="401" t="e">
        <f aca="false">C86</f>
        <v>#REF!</v>
      </c>
      <c r="D133" s="401" t="e">
        <f aca="false">D86</f>
        <v>#REF!</v>
      </c>
      <c r="E133" s="401" t="e">
        <f aca="false">E86</f>
        <v>#REF!</v>
      </c>
      <c r="F133" s="401" t="e">
        <f aca="false">F86</f>
        <v>#REF!</v>
      </c>
      <c r="G133" s="403" t="e">
        <f aca="false">G86</f>
        <v>#REF!</v>
      </c>
      <c r="I133" s="416"/>
      <c r="J133" s="416"/>
      <c r="K133" s="416"/>
      <c r="L133" s="416"/>
      <c r="M133" s="416"/>
    </row>
    <row r="134" customFormat="false" ht="15" hidden="false" customHeight="false" outlineLevel="0" collapsed="false">
      <c r="A134" s="474" t="s">
        <v>873</v>
      </c>
      <c r="B134" s="474"/>
      <c r="C134" s="475" t="e">
        <f aca="false">C94</f>
        <v>#NAME?</v>
      </c>
      <c r="D134" s="475" t="e">
        <f aca="false">D94</f>
        <v>#NAME?</v>
      </c>
      <c r="E134" s="475" t="e">
        <f aca="false">E94</f>
        <v>#NAME?</v>
      </c>
      <c r="F134" s="475" t="e">
        <f aca="false">F94</f>
        <v>#NAME?</v>
      </c>
      <c r="G134" s="476" t="e">
        <f aca="false">G94</f>
        <v>#NAME?</v>
      </c>
      <c r="I134" s="416"/>
      <c r="J134" s="416"/>
      <c r="K134" s="416"/>
      <c r="L134" s="416"/>
      <c r="M134" s="416"/>
    </row>
    <row r="135" customFormat="false" ht="15" hidden="false" customHeight="false" outlineLevel="0" collapsed="false">
      <c r="A135" s="386" t="s">
        <v>692</v>
      </c>
      <c r="B135" s="386"/>
      <c r="C135" s="477" t="e">
        <f aca="false">SUM(C130:C134)</f>
        <v>#REF!</v>
      </c>
      <c r="D135" s="477" t="e">
        <f aca="false">SUM(D130:D134)</f>
        <v>#REF!</v>
      </c>
      <c r="E135" s="477" t="e">
        <f aca="false">SUM(E130:E134)</f>
        <v>#REF!</v>
      </c>
      <c r="F135" s="477" t="e">
        <f aca="false">SUM(F130:F134)</f>
        <v>#REF!</v>
      </c>
      <c r="G135" s="478" t="e">
        <f aca="false">SUM(G130:G134)</f>
        <v>#REF!</v>
      </c>
      <c r="I135" s="416"/>
      <c r="J135" s="416"/>
      <c r="K135" s="416"/>
      <c r="L135" s="416"/>
      <c r="M135" s="416"/>
    </row>
    <row r="136" customFormat="false" ht="15" hidden="false" customHeight="false" outlineLevel="0" collapsed="false">
      <c r="A136" s="470" t="s">
        <v>874</v>
      </c>
      <c r="B136" s="470"/>
      <c r="C136" s="471" t="e">
        <f aca="false">C120</f>
        <v>#REF!</v>
      </c>
      <c r="D136" s="471" t="e">
        <f aca="false">D120</f>
        <v>#REF!</v>
      </c>
      <c r="E136" s="471" t="e">
        <f aca="false">E120</f>
        <v>#REF!</v>
      </c>
      <c r="F136" s="471" t="e">
        <f aca="false">F120</f>
        <v>#REF!</v>
      </c>
      <c r="G136" s="472" t="e">
        <f aca="false">G120</f>
        <v>#REF!</v>
      </c>
      <c r="I136" s="416"/>
      <c r="J136" s="416"/>
      <c r="K136" s="416"/>
      <c r="L136" s="416"/>
      <c r="M136" s="416"/>
    </row>
    <row r="137" customFormat="false" ht="15" hidden="false" customHeight="false" outlineLevel="0" collapsed="false">
      <c r="A137" s="473" t="s">
        <v>875</v>
      </c>
      <c r="B137" s="473"/>
      <c r="C137" s="401" t="e">
        <f aca="false">C121</f>
        <v>#REF!</v>
      </c>
      <c r="D137" s="401" t="e">
        <f aca="false">D121</f>
        <v>#REF!</v>
      </c>
      <c r="E137" s="401" t="e">
        <f aca="false">E121</f>
        <v>#REF!</v>
      </c>
      <c r="F137" s="401" t="e">
        <f aca="false">F121</f>
        <v>#REF!</v>
      </c>
      <c r="G137" s="403" t="e">
        <f aca="false">G121</f>
        <v>#REF!</v>
      </c>
      <c r="I137" s="416"/>
      <c r="J137" s="416"/>
      <c r="K137" s="416"/>
      <c r="L137" s="416"/>
      <c r="M137" s="416"/>
    </row>
    <row r="138" customFormat="false" ht="15" hidden="false" customHeight="false" outlineLevel="0" collapsed="false">
      <c r="A138" s="473" t="s">
        <v>876</v>
      </c>
      <c r="B138" s="473"/>
      <c r="C138" s="401" t="e">
        <f aca="false">C122</f>
        <v>#REF!</v>
      </c>
      <c r="D138" s="401" t="e">
        <f aca="false">D122</f>
        <v>#REF!</v>
      </c>
      <c r="E138" s="401" t="e">
        <f aca="false">E122</f>
        <v>#REF!</v>
      </c>
      <c r="F138" s="401" t="e">
        <f aca="false">F122</f>
        <v>#REF!</v>
      </c>
      <c r="G138" s="403" t="e">
        <f aca="false">G122</f>
        <v>#REF!</v>
      </c>
      <c r="I138" s="416"/>
      <c r="J138" s="416"/>
      <c r="K138" s="416"/>
      <c r="L138" s="416"/>
      <c r="M138" s="416"/>
    </row>
    <row r="139" customFormat="false" ht="15" hidden="false" customHeight="false" outlineLevel="0" collapsed="false">
      <c r="A139" s="473" t="s">
        <v>877</v>
      </c>
      <c r="B139" s="473"/>
      <c r="C139" s="401" t="e">
        <f aca="false">C123</f>
        <v>#REF!</v>
      </c>
      <c r="D139" s="401" t="e">
        <f aca="false">D123</f>
        <v>#REF!</v>
      </c>
      <c r="E139" s="401" t="e">
        <f aca="false">E123</f>
        <v>#REF!</v>
      </c>
      <c r="F139" s="401" t="e">
        <f aca="false">F123</f>
        <v>#REF!</v>
      </c>
      <c r="G139" s="403" t="e">
        <f aca="false">G123</f>
        <v>#REF!</v>
      </c>
      <c r="I139" s="416"/>
      <c r="J139" s="416"/>
      <c r="K139" s="416"/>
      <c r="L139" s="416"/>
      <c r="M139" s="416"/>
    </row>
    <row r="140" customFormat="false" ht="15" hidden="false" customHeight="false" outlineLevel="0" collapsed="false">
      <c r="A140" s="473" t="s">
        <v>878</v>
      </c>
      <c r="B140" s="473"/>
      <c r="C140" s="401" t="e">
        <f aca="false">C124</f>
        <v>#REF!</v>
      </c>
      <c r="D140" s="401" t="e">
        <f aca="false">D124</f>
        <v>#REF!</v>
      </c>
      <c r="E140" s="401" t="e">
        <f aca="false">E124</f>
        <v>#REF!</v>
      </c>
      <c r="F140" s="401" t="e">
        <f aca="false">F124</f>
        <v>#REF!</v>
      </c>
      <c r="G140" s="403" t="e">
        <f aca="false">G124</f>
        <v>#REF!</v>
      </c>
      <c r="I140" s="416"/>
      <c r="J140" s="416"/>
      <c r="K140" s="416"/>
      <c r="L140" s="428"/>
      <c r="M140" s="416"/>
    </row>
    <row r="141" customFormat="false" ht="15" hidden="false" customHeight="false" outlineLevel="0" collapsed="false">
      <c r="A141" s="479" t="s">
        <v>879</v>
      </c>
      <c r="B141" s="479"/>
      <c r="C141" s="475" t="e">
        <f aca="false">C125</f>
        <v>#REF!</v>
      </c>
      <c r="D141" s="475" t="e">
        <f aca="false">D125</f>
        <v>#REF!</v>
      </c>
      <c r="E141" s="475" t="e">
        <f aca="false">E125</f>
        <v>#REF!</v>
      </c>
      <c r="F141" s="475" t="e">
        <f aca="false">F125</f>
        <v>#REF!</v>
      </c>
      <c r="G141" s="476" t="e">
        <f aca="false">G125</f>
        <v>#REF!</v>
      </c>
      <c r="I141" s="416"/>
      <c r="J141" s="416"/>
      <c r="K141" s="416"/>
      <c r="L141" s="416"/>
      <c r="M141" s="416"/>
    </row>
    <row r="142" customFormat="false" ht="15" hidden="false" customHeight="false" outlineLevel="0" collapsed="false">
      <c r="A142" s="480" t="s">
        <v>880</v>
      </c>
      <c r="B142" s="481" t="s">
        <v>881</v>
      </c>
      <c r="C142" s="471" t="e">
        <f aca="false">C135+C136</f>
        <v>#REF!</v>
      </c>
      <c r="D142" s="471" t="e">
        <f aca="false">D135+D136</f>
        <v>#REF!</v>
      </c>
      <c r="E142" s="471" t="e">
        <f aca="false">E135+E136</f>
        <v>#REF!</v>
      </c>
      <c r="F142" s="471" t="e">
        <f aca="false">F135+F136</f>
        <v>#REF!</v>
      </c>
      <c r="G142" s="472" t="e">
        <f aca="false">G135+G136</f>
        <v>#REF!</v>
      </c>
      <c r="I142" s="423"/>
      <c r="J142" s="423"/>
      <c r="K142" s="423"/>
      <c r="L142" s="423"/>
      <c r="M142" s="423"/>
    </row>
    <row r="143" customFormat="false" ht="15" hidden="false" customHeight="false" outlineLevel="0" collapsed="false">
      <c r="A143" s="480"/>
      <c r="B143" s="482" t="s">
        <v>882</v>
      </c>
      <c r="C143" s="401" t="e">
        <f aca="false">C135+C137</f>
        <v>#REF!</v>
      </c>
      <c r="D143" s="401" t="e">
        <f aca="false">D135+D137</f>
        <v>#REF!</v>
      </c>
      <c r="E143" s="401" t="e">
        <f aca="false">E135+E137</f>
        <v>#REF!</v>
      </c>
      <c r="F143" s="401" t="e">
        <f aca="false">F135+F137</f>
        <v>#REF!</v>
      </c>
      <c r="G143" s="403" t="e">
        <f aca="false">G135+G137</f>
        <v>#REF!</v>
      </c>
      <c r="I143" s="423"/>
      <c r="J143" s="423"/>
      <c r="K143" s="423"/>
      <c r="L143" s="423"/>
      <c r="M143" s="423"/>
    </row>
    <row r="144" customFormat="false" ht="15" hidden="false" customHeight="false" outlineLevel="0" collapsed="false">
      <c r="A144" s="480"/>
      <c r="B144" s="482" t="s">
        <v>883</v>
      </c>
      <c r="C144" s="401" t="e">
        <f aca="false">C135+C138</f>
        <v>#REF!</v>
      </c>
      <c r="D144" s="401" t="e">
        <f aca="false">D135+D138</f>
        <v>#REF!</v>
      </c>
      <c r="E144" s="401" t="e">
        <f aca="false">E135+E138</f>
        <v>#REF!</v>
      </c>
      <c r="F144" s="401" t="e">
        <f aca="false">F135+F138</f>
        <v>#REF!</v>
      </c>
      <c r="G144" s="403" t="e">
        <f aca="false">G135+G138</f>
        <v>#REF!</v>
      </c>
      <c r="I144" s="423"/>
      <c r="J144" s="423"/>
      <c r="K144" s="423"/>
      <c r="L144" s="423"/>
      <c r="M144" s="423"/>
    </row>
    <row r="145" customFormat="false" ht="15" hidden="false" customHeight="false" outlineLevel="0" collapsed="false">
      <c r="A145" s="480"/>
      <c r="B145" s="482" t="s">
        <v>884</v>
      </c>
      <c r="C145" s="401" t="e">
        <f aca="false">C135+C139</f>
        <v>#REF!</v>
      </c>
      <c r="D145" s="401" t="e">
        <f aca="false">D135+D139</f>
        <v>#REF!</v>
      </c>
      <c r="E145" s="401" t="e">
        <f aca="false">E135+E139</f>
        <v>#REF!</v>
      </c>
      <c r="F145" s="401" t="e">
        <f aca="false">F135+F139</f>
        <v>#REF!</v>
      </c>
      <c r="G145" s="403" t="e">
        <f aca="false">G135+G139</f>
        <v>#REF!</v>
      </c>
      <c r="I145" s="423"/>
      <c r="J145" s="423"/>
      <c r="K145" s="423"/>
      <c r="L145" s="423"/>
      <c r="M145" s="423"/>
    </row>
    <row r="146" customFormat="false" ht="15" hidden="false" customHeight="false" outlineLevel="0" collapsed="false">
      <c r="A146" s="480"/>
      <c r="B146" s="482" t="s">
        <v>885</v>
      </c>
      <c r="C146" s="401" t="e">
        <f aca="false">C135+C140</f>
        <v>#REF!</v>
      </c>
      <c r="D146" s="401" t="e">
        <f aca="false">D135+D140</f>
        <v>#REF!</v>
      </c>
      <c r="E146" s="401" t="e">
        <f aca="false">E135+E140</f>
        <v>#REF!</v>
      </c>
      <c r="F146" s="401" t="e">
        <f aca="false">F135+F140</f>
        <v>#REF!</v>
      </c>
      <c r="G146" s="403" t="e">
        <f aca="false">G135+G140</f>
        <v>#REF!</v>
      </c>
      <c r="I146" s="423"/>
      <c r="J146" s="423"/>
      <c r="K146" s="423"/>
      <c r="L146" s="423"/>
      <c r="M146" s="423"/>
    </row>
    <row r="147" customFormat="false" ht="15" hidden="false" customHeight="false" outlineLevel="0" collapsed="false">
      <c r="A147" s="480"/>
      <c r="B147" s="483" t="s">
        <v>886</v>
      </c>
      <c r="C147" s="484" t="e">
        <f aca="false">C135+C141</f>
        <v>#REF!</v>
      </c>
      <c r="D147" s="484" t="e">
        <f aca="false">D135+D141</f>
        <v>#REF!</v>
      </c>
      <c r="E147" s="484" t="e">
        <f aca="false">E135+E141</f>
        <v>#REF!</v>
      </c>
      <c r="F147" s="484" t="e">
        <f aca="false">F135+F141</f>
        <v>#REF!</v>
      </c>
      <c r="G147" s="485" t="e">
        <f aca="false">G135+G141</f>
        <v>#REF!</v>
      </c>
      <c r="I147" s="423"/>
      <c r="J147" s="423"/>
      <c r="K147" s="423"/>
      <c r="L147" s="423"/>
      <c r="M147" s="423"/>
    </row>
    <row r="148" customFormat="false" ht="15" hidden="false" customHeight="false" outlineLevel="0" collapsed="false">
      <c r="A148" s="373" t="s">
        <v>887</v>
      </c>
      <c r="B148" s="486" t="s">
        <v>881</v>
      </c>
      <c r="C148" s="487" t="e">
        <f aca="false">C142</f>
        <v>#REF!</v>
      </c>
      <c r="D148" s="487" t="e">
        <f aca="false">D142</f>
        <v>#REF!</v>
      </c>
      <c r="E148" s="487" t="e">
        <f aca="false">E142</f>
        <v>#REF!</v>
      </c>
      <c r="F148" s="488" t="e">
        <f aca="false">F142/2</f>
        <v>#REF!</v>
      </c>
      <c r="G148" s="489" t="e">
        <f aca="false">G142/2</f>
        <v>#REF!</v>
      </c>
      <c r="I148" s="416"/>
      <c r="J148" s="416"/>
      <c r="K148" s="416"/>
      <c r="L148" s="416"/>
      <c r="M148" s="416"/>
    </row>
    <row r="149" customFormat="false" ht="15" hidden="false" customHeight="false" outlineLevel="0" collapsed="false">
      <c r="A149" s="373"/>
      <c r="B149" s="482" t="s">
        <v>882</v>
      </c>
      <c r="C149" s="401" t="e">
        <f aca="false">C143</f>
        <v>#REF!</v>
      </c>
      <c r="D149" s="401" t="e">
        <f aca="false">D143</f>
        <v>#REF!</v>
      </c>
      <c r="E149" s="401" t="e">
        <f aca="false">E143</f>
        <v>#REF!</v>
      </c>
      <c r="F149" s="402" t="e">
        <f aca="false">F143/2</f>
        <v>#REF!</v>
      </c>
      <c r="G149" s="403" t="e">
        <f aca="false">G143/2</f>
        <v>#REF!</v>
      </c>
      <c r="I149" s="490"/>
      <c r="J149" s="490"/>
      <c r="K149" s="490"/>
      <c r="L149" s="490"/>
      <c r="M149" s="490"/>
    </row>
    <row r="150" customFormat="false" ht="15" hidden="false" customHeight="false" outlineLevel="0" collapsed="false">
      <c r="A150" s="373"/>
      <c r="B150" s="482" t="s">
        <v>883</v>
      </c>
      <c r="C150" s="401" t="e">
        <f aca="false">C144</f>
        <v>#REF!</v>
      </c>
      <c r="D150" s="401" t="e">
        <f aca="false">D144</f>
        <v>#REF!</v>
      </c>
      <c r="E150" s="401" t="e">
        <f aca="false">E144</f>
        <v>#REF!</v>
      </c>
      <c r="F150" s="402" t="e">
        <f aca="false">F144/2</f>
        <v>#REF!</v>
      </c>
      <c r="G150" s="403" t="e">
        <f aca="false">G144/2</f>
        <v>#REF!</v>
      </c>
      <c r="I150" s="490"/>
      <c r="J150" s="490"/>
      <c r="K150" s="490"/>
      <c r="L150" s="490"/>
      <c r="M150" s="490"/>
    </row>
    <row r="151" customFormat="false" ht="15" hidden="false" customHeight="false" outlineLevel="0" collapsed="false">
      <c r="A151" s="373"/>
      <c r="B151" s="482" t="s">
        <v>884</v>
      </c>
      <c r="C151" s="401" t="e">
        <f aca="false">C145</f>
        <v>#REF!</v>
      </c>
      <c r="D151" s="401" t="e">
        <f aca="false">D145</f>
        <v>#REF!</v>
      </c>
      <c r="E151" s="401" t="e">
        <f aca="false">E145</f>
        <v>#REF!</v>
      </c>
      <c r="F151" s="402" t="e">
        <f aca="false">F145/2</f>
        <v>#REF!</v>
      </c>
      <c r="G151" s="403" t="e">
        <f aca="false">G145/2</f>
        <v>#REF!</v>
      </c>
      <c r="I151" s="490"/>
      <c r="J151" s="490"/>
      <c r="K151" s="490"/>
      <c r="L151" s="490"/>
      <c r="M151" s="490"/>
    </row>
    <row r="152" customFormat="false" ht="15" hidden="false" customHeight="false" outlineLevel="0" collapsed="false">
      <c r="A152" s="373"/>
      <c r="B152" s="482" t="s">
        <v>885</v>
      </c>
      <c r="C152" s="401" t="e">
        <f aca="false">C146</f>
        <v>#REF!</v>
      </c>
      <c r="D152" s="401" t="e">
        <f aca="false">D146</f>
        <v>#REF!</v>
      </c>
      <c r="E152" s="401" t="e">
        <f aca="false">E146</f>
        <v>#REF!</v>
      </c>
      <c r="F152" s="402" t="e">
        <f aca="false">F146/2</f>
        <v>#REF!</v>
      </c>
      <c r="G152" s="403" t="e">
        <f aca="false">G146/2</f>
        <v>#REF!</v>
      </c>
      <c r="I152" s="490"/>
      <c r="J152" s="490"/>
      <c r="K152" s="490"/>
      <c r="L152" s="490"/>
      <c r="M152" s="490"/>
    </row>
    <row r="153" customFormat="false" ht="15" hidden="false" customHeight="false" outlineLevel="0" collapsed="false">
      <c r="A153" s="373"/>
      <c r="B153" s="483" t="s">
        <v>886</v>
      </c>
      <c r="C153" s="484" t="e">
        <f aca="false">C147</f>
        <v>#REF!</v>
      </c>
      <c r="D153" s="484" t="e">
        <f aca="false">D147</f>
        <v>#REF!</v>
      </c>
      <c r="E153" s="484" t="e">
        <f aca="false">E147</f>
        <v>#REF!</v>
      </c>
      <c r="F153" s="491" t="e">
        <f aca="false">F147/2</f>
        <v>#REF!</v>
      </c>
      <c r="G153" s="485" t="e">
        <f aca="false">G147/2</f>
        <v>#REF!</v>
      </c>
      <c r="I153" s="490"/>
      <c r="J153" s="490"/>
      <c r="K153" s="490"/>
      <c r="L153" s="490"/>
      <c r="M153" s="490"/>
    </row>
    <row r="154" customFormat="false" ht="15" hidden="false" customHeight="true" outlineLevel="0" collapsed="false">
      <c r="A154" s="492" t="s">
        <v>888</v>
      </c>
      <c r="B154" s="493" t="s">
        <v>881</v>
      </c>
      <c r="C154" s="462"/>
      <c r="D154" s="462" t="e">
        <f aca="false">D142/220</f>
        <v>#REF!</v>
      </c>
      <c r="E154" s="462" t="e">
        <f aca="false">E142/220</f>
        <v>#REF!</v>
      </c>
      <c r="F154" s="462"/>
      <c r="G154" s="463"/>
      <c r="I154" s="416"/>
      <c r="J154" s="416"/>
      <c r="K154" s="416"/>
      <c r="L154" s="416"/>
      <c r="M154" s="416"/>
    </row>
    <row r="155" customFormat="false" ht="15" hidden="false" customHeight="true" outlineLevel="0" collapsed="false">
      <c r="A155" s="492"/>
      <c r="B155" s="494" t="s">
        <v>882</v>
      </c>
      <c r="C155" s="407"/>
      <c r="D155" s="407" t="e">
        <f aca="false">D143/220</f>
        <v>#REF!</v>
      </c>
      <c r="E155" s="407" t="e">
        <f aca="false">E143/220</f>
        <v>#REF!</v>
      </c>
      <c r="F155" s="407"/>
      <c r="G155" s="408"/>
    </row>
    <row r="156" customFormat="false" ht="15" hidden="false" customHeight="false" outlineLevel="0" collapsed="false">
      <c r="A156" s="492"/>
      <c r="B156" s="494" t="s">
        <v>883</v>
      </c>
      <c r="C156" s="435"/>
      <c r="D156" s="407" t="e">
        <f aca="false">D144/220</f>
        <v>#REF!</v>
      </c>
      <c r="E156" s="407" t="e">
        <f aca="false">E144/220</f>
        <v>#REF!</v>
      </c>
      <c r="F156" s="435"/>
      <c r="G156" s="436"/>
    </row>
    <row r="157" customFormat="false" ht="15" hidden="false" customHeight="false" outlineLevel="0" collapsed="false">
      <c r="A157" s="492"/>
      <c r="B157" s="494" t="s">
        <v>884</v>
      </c>
      <c r="C157" s="435"/>
      <c r="D157" s="407" t="e">
        <f aca="false">D145/220</f>
        <v>#REF!</v>
      </c>
      <c r="E157" s="407" t="e">
        <f aca="false">E145/220</f>
        <v>#REF!</v>
      </c>
      <c r="F157" s="435"/>
      <c r="G157" s="436"/>
    </row>
    <row r="158" customFormat="false" ht="15" hidden="false" customHeight="false" outlineLevel="0" collapsed="false">
      <c r="A158" s="492"/>
      <c r="B158" s="494" t="s">
        <v>885</v>
      </c>
      <c r="C158" s="435"/>
      <c r="D158" s="407" t="e">
        <f aca="false">D146/220</f>
        <v>#REF!</v>
      </c>
      <c r="E158" s="407" t="e">
        <f aca="false">E146/220</f>
        <v>#REF!</v>
      </c>
      <c r="F158" s="435"/>
      <c r="G158" s="436"/>
    </row>
    <row r="159" customFormat="false" ht="15" hidden="false" customHeight="false" outlineLevel="0" collapsed="false">
      <c r="A159" s="492"/>
      <c r="B159" s="495" t="s">
        <v>886</v>
      </c>
      <c r="C159" s="496"/>
      <c r="D159" s="465" t="e">
        <f aca="false">D147/220</f>
        <v>#REF!</v>
      </c>
      <c r="E159" s="465" t="e">
        <f aca="false">E147/220</f>
        <v>#REF!</v>
      </c>
      <c r="F159" s="496"/>
      <c r="G159" s="497"/>
    </row>
  </sheetData>
  <mergeCells count="31">
    <mergeCell ref="A1:G1"/>
    <mergeCell ref="A2:G2"/>
    <mergeCell ref="A3:G3"/>
    <mergeCell ref="A4:B4"/>
    <mergeCell ref="A5:B5"/>
    <mergeCell ref="A6:B6"/>
    <mergeCell ref="A7:B7"/>
    <mergeCell ref="A10:G10"/>
    <mergeCell ref="A21:G21"/>
    <mergeCell ref="A52:G52"/>
    <mergeCell ref="A72:G72"/>
    <mergeCell ref="A88:G88"/>
    <mergeCell ref="A96:G96"/>
    <mergeCell ref="A120:A125"/>
    <mergeCell ref="A128:G128"/>
    <mergeCell ref="A129:G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A147"/>
    <mergeCell ref="A148:A153"/>
    <mergeCell ref="A154:A15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M159"/>
  <sheetViews>
    <sheetView showFormulas="false" showGridLines="true" showRowColHeaders="true" showZeros="true" rightToLeft="false" tabSelected="false" showOutlineSymbols="true" defaultGridColor="true" view="pageBreakPreview" topLeftCell="A16" colorId="64" zoomScale="85" zoomScaleNormal="100" zoomScalePageLayoutView="85" workbookViewId="0">
      <selection pane="topLeft" activeCell="C33" activeCellId="0" sqref="C33"/>
    </sheetView>
  </sheetViews>
  <sheetFormatPr defaultColWidth="9.15625" defaultRowHeight="15" zeroHeight="false" outlineLevelRow="0" outlineLevelCol="0"/>
  <cols>
    <col collapsed="false" customWidth="true" hidden="false" outlineLevel="0" max="1" min="1" style="371" width="59.29"/>
    <col collapsed="false" customWidth="true" hidden="false" outlineLevel="0" max="7" min="2" style="371" width="18.71"/>
    <col collapsed="false" customWidth="false" hidden="false" outlineLevel="0" max="8" min="8" style="371" width="9.14"/>
    <col collapsed="false" customWidth="true" hidden="false" outlineLevel="0" max="11" min="9" style="371" width="11.57"/>
    <col collapsed="false" customWidth="true" hidden="false" outlineLevel="0" max="13" min="12" style="371" width="12.57"/>
    <col collapsed="false" customWidth="false" hidden="false" outlineLevel="0" max="1024" min="14" style="371" width="9.14"/>
  </cols>
  <sheetData>
    <row r="1" customFormat="false" ht="18.75" hidden="false" customHeight="false" outlineLevel="0" collapsed="false">
      <c r="A1" s="372" t="s">
        <v>819</v>
      </c>
      <c r="B1" s="372"/>
      <c r="C1" s="372"/>
      <c r="D1" s="372"/>
      <c r="E1" s="372"/>
      <c r="F1" s="372"/>
      <c r="G1" s="372"/>
    </row>
    <row r="2" customFormat="false" ht="15" hidden="false" customHeight="false" outlineLevel="0" collapsed="false">
      <c r="A2" s="373" t="s">
        <v>820</v>
      </c>
      <c r="B2" s="373"/>
      <c r="C2" s="373"/>
      <c r="D2" s="373"/>
      <c r="E2" s="373"/>
      <c r="F2" s="373"/>
      <c r="G2" s="373"/>
    </row>
    <row r="3" customFormat="false" ht="15" hidden="false" customHeight="false" outlineLevel="0" collapsed="false">
      <c r="A3" s="373" t="s">
        <v>821</v>
      </c>
      <c r="B3" s="373"/>
      <c r="C3" s="373"/>
      <c r="D3" s="373"/>
      <c r="E3" s="373"/>
      <c r="F3" s="373"/>
      <c r="G3" s="373"/>
    </row>
    <row r="4" s="498" customFormat="true" ht="15" hidden="false" customHeight="true" outlineLevel="0" collapsed="false">
      <c r="A4" s="374" t="s">
        <v>596</v>
      </c>
      <c r="B4" s="374"/>
      <c r="C4" s="375" t="e">
        <f aca="false">#REF!</f>
        <v>#REF!</v>
      </c>
      <c r="D4" s="376" t="e">
        <f aca="false">#REF!</f>
        <v>#REF!</v>
      </c>
      <c r="E4" s="376" t="e">
        <f aca="false">#REF!</f>
        <v>#REF!</v>
      </c>
      <c r="F4" s="377" t="e">
        <f aca="false">#REF!</f>
        <v>#REF!</v>
      </c>
      <c r="G4" s="378" t="e">
        <f aca="false">#REF!</f>
        <v>#REF!</v>
      </c>
    </row>
    <row r="5" customFormat="false" ht="15" hidden="false" customHeight="true" outlineLevel="0" collapsed="false">
      <c r="A5" s="379" t="s">
        <v>597</v>
      </c>
      <c r="B5" s="379"/>
      <c r="C5" s="380" t="e">
        <f aca="false">#REF!</f>
        <v>#REF!</v>
      </c>
      <c r="D5" s="381" t="e">
        <f aca="false">#REF!</f>
        <v>#REF!</v>
      </c>
      <c r="E5" s="381" t="e">
        <f aca="false">#REF!</f>
        <v>#REF!</v>
      </c>
      <c r="F5" s="382" t="e">
        <f aca="false">#REF!</f>
        <v>#REF!</v>
      </c>
      <c r="G5" s="383" t="e">
        <f aca="false">#REF!</f>
        <v>#REF!</v>
      </c>
    </row>
    <row r="6" customFormat="false" ht="15" hidden="false" customHeight="true" outlineLevel="0" collapsed="false">
      <c r="A6" s="384" t="s">
        <v>598</v>
      </c>
      <c r="B6" s="384"/>
      <c r="C6" s="482" t="s">
        <v>424</v>
      </c>
      <c r="D6" s="482" t="s">
        <v>424</v>
      </c>
      <c r="E6" s="482" t="s">
        <v>424</v>
      </c>
      <c r="F6" s="482" t="s">
        <v>424</v>
      </c>
      <c r="G6" s="482" t="s">
        <v>424</v>
      </c>
    </row>
    <row r="7" customFormat="false" ht="15" hidden="false" customHeight="true" outlineLevel="0" collapsed="false">
      <c r="A7" s="386" t="s">
        <v>599</v>
      </c>
      <c r="B7" s="386"/>
      <c r="C7" s="387" t="s">
        <v>715</v>
      </c>
      <c r="D7" s="388" t="s">
        <v>715</v>
      </c>
      <c r="E7" s="388" t="s">
        <v>715</v>
      </c>
      <c r="F7" s="388" t="s">
        <v>715</v>
      </c>
      <c r="G7" s="389" t="s">
        <v>715</v>
      </c>
    </row>
    <row r="8" customFormat="false" ht="3.75" hidden="false" customHeight="true" outlineLevel="0" collapsed="false">
      <c r="A8" s="390"/>
      <c r="G8" s="391"/>
    </row>
    <row r="9" customFormat="false" ht="47.25" hidden="false" customHeight="true" outlineLevel="0" collapsed="false">
      <c r="A9" s="392" t="s">
        <v>601</v>
      </c>
      <c r="B9" s="393" t="s">
        <v>602</v>
      </c>
      <c r="C9" s="393" t="s">
        <v>823</v>
      </c>
      <c r="D9" s="393" t="s">
        <v>824</v>
      </c>
      <c r="E9" s="393" t="s">
        <v>825</v>
      </c>
      <c r="F9" s="393" t="s">
        <v>826</v>
      </c>
      <c r="G9" s="394" t="s">
        <v>827</v>
      </c>
    </row>
    <row r="10" customFormat="false" ht="15" hidden="false" customHeight="false" outlineLevel="0" collapsed="false">
      <c r="A10" s="395" t="s">
        <v>607</v>
      </c>
      <c r="B10" s="395"/>
      <c r="C10" s="395"/>
      <c r="D10" s="395"/>
      <c r="E10" s="395"/>
      <c r="F10" s="395"/>
      <c r="G10" s="395"/>
    </row>
    <row r="11" customFormat="false" ht="15" hidden="false" customHeight="false" outlineLevel="0" collapsed="false">
      <c r="A11" s="396" t="s">
        <v>608</v>
      </c>
      <c r="B11" s="397" t="s">
        <v>609</v>
      </c>
      <c r="C11" s="397" t="s">
        <v>610</v>
      </c>
      <c r="D11" s="397" t="s">
        <v>610</v>
      </c>
      <c r="E11" s="397" t="s">
        <v>610</v>
      </c>
      <c r="F11" s="397" t="s">
        <v>610</v>
      </c>
      <c r="G11" s="398" t="s">
        <v>610</v>
      </c>
    </row>
    <row r="12" customFormat="false" ht="15" hidden="false" customHeight="false" outlineLevel="0" collapsed="false">
      <c r="A12" s="399" t="s">
        <v>828</v>
      </c>
      <c r="B12" s="400"/>
      <c r="C12" s="401" t="e">
        <f aca="false">C4</f>
        <v>#REF!</v>
      </c>
      <c r="D12" s="401" t="e">
        <f aca="false">D4</f>
        <v>#REF!</v>
      </c>
      <c r="E12" s="401" t="e">
        <f aca="false">E4</f>
        <v>#REF!</v>
      </c>
      <c r="F12" s="402" t="e">
        <f aca="false">F4*2</f>
        <v>#REF!</v>
      </c>
      <c r="G12" s="403" t="e">
        <f aca="false">G4*2</f>
        <v>#REF!</v>
      </c>
    </row>
    <row r="13" customFormat="false" ht="15" hidden="false" customHeight="false" outlineLevel="0" collapsed="false">
      <c r="A13" s="399" t="s">
        <v>612</v>
      </c>
      <c r="B13" s="400" t="n">
        <v>0.3</v>
      </c>
      <c r="C13" s="401" t="e">
        <f aca="false">C12*B13</f>
        <v>#REF!</v>
      </c>
      <c r="D13" s="401" t="e">
        <f aca="false">D12*B13</f>
        <v>#REF!</v>
      </c>
      <c r="E13" s="401" t="e">
        <f aca="false">E12*B13</f>
        <v>#REF!</v>
      </c>
      <c r="F13" s="402" t="e">
        <f aca="false">F12*B13</f>
        <v>#REF!</v>
      </c>
      <c r="G13" s="403" t="e">
        <f aca="false">G12*B13</f>
        <v>#REF!</v>
      </c>
    </row>
    <row r="14" customFormat="false" ht="15" hidden="false" customHeight="false" outlineLevel="0" collapsed="false">
      <c r="A14" s="399" t="s">
        <v>829</v>
      </c>
      <c r="B14" s="400"/>
      <c r="C14" s="401"/>
      <c r="D14" s="401"/>
      <c r="E14" s="401"/>
      <c r="F14" s="402"/>
      <c r="G14" s="403"/>
    </row>
    <row r="15" customFormat="false" ht="15" hidden="false" customHeight="false" outlineLevel="0" collapsed="false">
      <c r="A15" s="399" t="s">
        <v>830</v>
      </c>
      <c r="B15" s="400" t="n">
        <v>0.2</v>
      </c>
      <c r="C15" s="401"/>
      <c r="D15" s="401"/>
      <c r="E15" s="401" t="e">
        <f aca="false">E4*1.3/220*0.2*21*7</f>
        <v>#REF!</v>
      </c>
      <c r="F15" s="402"/>
      <c r="G15" s="403" t="e">
        <f aca="false">G4*1.3/220*0.2*15*8*2</f>
        <v>#REF!</v>
      </c>
    </row>
    <row r="16" customFormat="false" ht="15" hidden="false" customHeight="false" outlineLevel="0" collapsed="false">
      <c r="A16" s="399" t="s">
        <v>831</v>
      </c>
      <c r="B16" s="400"/>
      <c r="C16" s="401"/>
      <c r="D16" s="401"/>
      <c r="E16" s="401" t="e">
        <f aca="false">E4/220*1.3*1.2*4.2</f>
        <v>#REF!</v>
      </c>
      <c r="F16" s="402"/>
      <c r="G16" s="401" t="e">
        <f aca="false">G4/220*1.3*1.2*4.33*2</f>
        <v>#REF!</v>
      </c>
    </row>
    <row r="17" customFormat="false" ht="15" hidden="false" customHeight="false" outlineLevel="0" collapsed="false">
      <c r="A17" s="399" t="s">
        <v>832</v>
      </c>
      <c r="C17" s="404" t="n">
        <f aca="false">(C15+C16)*20%</f>
        <v>0</v>
      </c>
      <c r="D17" s="404" t="n">
        <f aca="false">(D15+D16)*20%</f>
        <v>0</v>
      </c>
      <c r="E17" s="404" t="e">
        <f aca="false">(E15+E16)*20%</f>
        <v>#REF!</v>
      </c>
      <c r="F17" s="404" t="n">
        <f aca="false">(F15+F16)*20%</f>
        <v>0</v>
      </c>
      <c r="G17" s="404" t="e">
        <f aca="false">(G15+G16)*20%</f>
        <v>#REF!</v>
      </c>
    </row>
    <row r="18" customFormat="false" ht="15" hidden="false" customHeight="false" outlineLevel="0" collapsed="false">
      <c r="A18" s="399" t="s">
        <v>889</v>
      </c>
      <c r="B18" s="400"/>
      <c r="C18" s="401"/>
      <c r="D18" s="401"/>
      <c r="E18" s="401"/>
      <c r="F18" s="402"/>
      <c r="G18" s="403"/>
    </row>
    <row r="19" customFormat="false" ht="15" hidden="false" customHeight="false" outlineLevel="0" collapsed="false">
      <c r="A19" s="405" t="s">
        <v>7</v>
      </c>
      <c r="B19" s="406"/>
      <c r="C19" s="407" t="e">
        <f aca="false">SUM(C12:C18)</f>
        <v>#REF!</v>
      </c>
      <c r="D19" s="407" t="e">
        <f aca="false">SUM(D12:D18)</f>
        <v>#REF!</v>
      </c>
      <c r="E19" s="407" t="e">
        <f aca="false">SUM(E12:E18)</f>
        <v>#REF!</v>
      </c>
      <c r="F19" s="407" t="e">
        <f aca="false">SUM(F12:F18)</f>
        <v>#REF!</v>
      </c>
      <c r="G19" s="408" t="e">
        <f aca="false">SUM(G12:G18)</f>
        <v>#REF!</v>
      </c>
    </row>
    <row r="20" customFormat="false" ht="4.5" hidden="false" customHeight="true" outlineLevel="0" collapsed="false">
      <c r="A20" s="399"/>
      <c r="B20" s="409"/>
      <c r="C20" s="409"/>
      <c r="D20" s="409"/>
      <c r="E20" s="409"/>
      <c r="F20" s="410"/>
      <c r="G20" s="411"/>
    </row>
    <row r="21" customFormat="false" ht="15" hidden="false" customHeight="false" outlineLevel="0" collapsed="false">
      <c r="A21" s="412" t="s">
        <v>618</v>
      </c>
      <c r="B21" s="412"/>
      <c r="C21" s="412"/>
      <c r="D21" s="412"/>
      <c r="E21" s="412"/>
      <c r="F21" s="412"/>
      <c r="G21" s="412"/>
    </row>
    <row r="22" customFormat="false" ht="15" hidden="false" customHeight="false" outlineLevel="0" collapsed="false">
      <c r="A22" s="396" t="s">
        <v>619</v>
      </c>
      <c r="B22" s="397" t="s">
        <v>609</v>
      </c>
      <c r="C22" s="397" t="s">
        <v>610</v>
      </c>
      <c r="D22" s="397" t="s">
        <v>610</v>
      </c>
      <c r="E22" s="397" t="s">
        <v>610</v>
      </c>
      <c r="F22" s="397" t="s">
        <v>610</v>
      </c>
      <c r="G22" s="398" t="s">
        <v>610</v>
      </c>
    </row>
    <row r="23" customFormat="false" ht="15" hidden="false" customHeight="false" outlineLevel="0" collapsed="false">
      <c r="A23" s="399" t="s">
        <v>620</v>
      </c>
      <c r="B23" s="413" t="n">
        <f aca="false">1/12</f>
        <v>0.0833333333333333</v>
      </c>
      <c r="C23" s="401" t="e">
        <f aca="false">ROUND(C$19*$B23,2)</f>
        <v>#REF!</v>
      </c>
      <c r="D23" s="401" t="e">
        <f aca="false">ROUND(D$19*$B23,2)</f>
        <v>#REF!</v>
      </c>
      <c r="E23" s="401" t="e">
        <f aca="false">ROUND(E$19*$B23,2)</f>
        <v>#REF!</v>
      </c>
      <c r="F23" s="401" t="e">
        <f aca="false">ROUND(F$19*$B23,2)</f>
        <v>#REF!</v>
      </c>
      <c r="G23" s="403" t="e">
        <f aca="false">ROUND(G$19*$B23,2)</f>
        <v>#REF!</v>
      </c>
    </row>
    <row r="24" customFormat="false" ht="15" hidden="false" customHeight="false" outlineLevel="0" collapsed="false">
      <c r="A24" s="399" t="s">
        <v>834</v>
      </c>
      <c r="B24" s="413" t="n">
        <v>0</v>
      </c>
      <c r="C24" s="401" t="e">
        <f aca="false">ROUND(C$19*$B24,2)</f>
        <v>#REF!</v>
      </c>
      <c r="D24" s="401" t="e">
        <f aca="false">ROUND(D$19*$B24,2)</f>
        <v>#REF!</v>
      </c>
      <c r="E24" s="401" t="e">
        <f aca="false">ROUND(E$19*$B24,2)</f>
        <v>#REF!</v>
      </c>
      <c r="F24" s="401" t="e">
        <f aca="false">ROUND(F$19*$B24,2)</f>
        <v>#REF!</v>
      </c>
      <c r="G24" s="403" t="e">
        <f aca="false">ROUND(G$19*$B24,2)</f>
        <v>#REF!</v>
      </c>
    </row>
    <row r="25" customFormat="false" ht="15" hidden="false" customHeight="false" outlineLevel="0" collapsed="false">
      <c r="A25" s="399" t="s">
        <v>835</v>
      </c>
      <c r="B25" s="413" t="n">
        <f aca="false">1/12/3</f>
        <v>0.0277777777777778</v>
      </c>
      <c r="C25" s="401" t="e">
        <f aca="false">ROUND(C$19*$B25,2)</f>
        <v>#REF!</v>
      </c>
      <c r="D25" s="401" t="e">
        <f aca="false">ROUND(D$19*$B25,2)</f>
        <v>#REF!</v>
      </c>
      <c r="E25" s="401" t="e">
        <f aca="false">ROUND(E$19*$B25,2)</f>
        <v>#REF!</v>
      </c>
      <c r="F25" s="401" t="e">
        <f aca="false">ROUND(F$19*$B25,2)</f>
        <v>#REF!</v>
      </c>
      <c r="G25" s="403" t="e">
        <f aca="false">ROUND(G$19*$B25,2)</f>
        <v>#REF!</v>
      </c>
    </row>
    <row r="26" customFormat="false" ht="15" hidden="false" customHeight="false" outlineLevel="0" collapsed="false">
      <c r="A26" s="405" t="s">
        <v>7</v>
      </c>
      <c r="B26" s="414" t="n">
        <f aca="false">SUM(B23:B25)</f>
        <v>0.111111111111111</v>
      </c>
      <c r="C26" s="407" t="e">
        <f aca="false">SUM(C23:C25)</f>
        <v>#REF!</v>
      </c>
      <c r="D26" s="407" t="e">
        <f aca="false">SUM(D23:D25)</f>
        <v>#REF!</v>
      </c>
      <c r="E26" s="407" t="e">
        <f aca="false">SUM(E23:E25)</f>
        <v>#REF!</v>
      </c>
      <c r="F26" s="407" t="e">
        <f aca="false">SUM(F23:F25)</f>
        <v>#REF!</v>
      </c>
      <c r="G26" s="408" t="e">
        <f aca="false">SUM(G23:G25)</f>
        <v>#REF!</v>
      </c>
      <c r="I26" s="415"/>
      <c r="J26" s="415"/>
      <c r="K26" s="415"/>
      <c r="L26" s="415"/>
      <c r="M26" s="415"/>
    </row>
    <row r="27" customFormat="false" ht="15" hidden="false" customHeight="false" outlineLevel="0" collapsed="false">
      <c r="A27" s="396" t="s">
        <v>622</v>
      </c>
      <c r="B27" s="397" t="s">
        <v>609</v>
      </c>
      <c r="C27" s="397" t="s">
        <v>610</v>
      </c>
      <c r="D27" s="397" t="s">
        <v>610</v>
      </c>
      <c r="E27" s="397" t="s">
        <v>610</v>
      </c>
      <c r="F27" s="397" t="s">
        <v>610</v>
      </c>
      <c r="G27" s="398" t="s">
        <v>610</v>
      </c>
      <c r="I27" s="416"/>
      <c r="J27" s="416"/>
      <c r="K27" s="416"/>
      <c r="L27" s="416"/>
      <c r="M27" s="416"/>
    </row>
    <row r="28" customFormat="false" ht="15" hidden="false" customHeight="false" outlineLevel="0" collapsed="false">
      <c r="A28" s="396" t="s">
        <v>623</v>
      </c>
      <c r="B28" s="397"/>
      <c r="C28" s="397"/>
      <c r="D28" s="397"/>
      <c r="E28" s="397"/>
      <c r="F28" s="417"/>
      <c r="G28" s="398"/>
      <c r="I28" s="416"/>
      <c r="J28" s="416"/>
      <c r="K28" s="416"/>
      <c r="L28" s="416"/>
      <c r="M28" s="416"/>
    </row>
    <row r="29" customFormat="false" ht="15" hidden="false" customHeight="false" outlineLevel="0" collapsed="false">
      <c r="A29" s="399" t="s">
        <v>624</v>
      </c>
      <c r="B29" s="400" t="n">
        <v>0.2</v>
      </c>
      <c r="C29" s="401" t="e">
        <f aca="false">ROUND((C$19+C$26)*$B29,2)</f>
        <v>#REF!</v>
      </c>
      <c r="D29" s="401" t="e">
        <f aca="false">ROUND((D$19+D$26)*$B29,2)</f>
        <v>#REF!</v>
      </c>
      <c r="E29" s="401" t="e">
        <f aca="false">ROUND((E$19+E$26)*$B29,2)</f>
        <v>#REF!</v>
      </c>
      <c r="F29" s="401" t="e">
        <f aca="false">ROUND((F$19+F$26)*$B29,2)</f>
        <v>#REF!</v>
      </c>
      <c r="G29" s="403" t="e">
        <f aca="false">ROUND((G$19+G$26)*$B29,2)</f>
        <v>#REF!</v>
      </c>
      <c r="I29" s="416"/>
      <c r="J29" s="416"/>
      <c r="K29" s="416"/>
      <c r="L29" s="416"/>
      <c r="M29" s="416"/>
    </row>
    <row r="30" customFormat="false" ht="15" hidden="false" customHeight="false" outlineLevel="0" collapsed="false">
      <c r="A30" s="399" t="s">
        <v>625</v>
      </c>
      <c r="B30" s="413" t="n">
        <v>0.025</v>
      </c>
      <c r="C30" s="401" t="e">
        <f aca="false">ROUND((C$19+C$26)*$B30,2)</f>
        <v>#REF!</v>
      </c>
      <c r="D30" s="401" t="e">
        <f aca="false">ROUND((D$19+D$26)*$B30,2)</f>
        <v>#REF!</v>
      </c>
      <c r="E30" s="401" t="e">
        <f aca="false">ROUND((E$19+E$26)*$B30,2)</f>
        <v>#REF!</v>
      </c>
      <c r="F30" s="401" t="e">
        <f aca="false">ROUND((F$19+F$26)*$B30,2)</f>
        <v>#REF!</v>
      </c>
      <c r="G30" s="403" t="e">
        <f aca="false">ROUND((G$19+G$26)*$B30,2)</f>
        <v>#REF!</v>
      </c>
      <c r="I30" s="416"/>
      <c r="J30" s="416"/>
      <c r="K30" s="416"/>
      <c r="L30" s="416"/>
      <c r="M30" s="416"/>
    </row>
    <row r="31" customFormat="false" ht="15" hidden="false" customHeight="false" outlineLevel="0" collapsed="false">
      <c r="A31" s="399" t="s">
        <v>626</v>
      </c>
      <c r="B31" s="418" t="n">
        <f aca="false">3%*1.2469</f>
        <v>0.037407</v>
      </c>
      <c r="C31" s="401" t="e">
        <f aca="false">ROUND((C$19+C$26)*$B31,2)</f>
        <v>#REF!</v>
      </c>
      <c r="D31" s="401" t="e">
        <f aca="false">ROUND((D$19+D$26)*$B31,2)</f>
        <v>#REF!</v>
      </c>
      <c r="E31" s="401" t="e">
        <f aca="false">ROUND((E$19+E$26)*$B31,2)</f>
        <v>#REF!</v>
      </c>
      <c r="F31" s="401" t="e">
        <f aca="false">ROUND((F$19+F$26)*$B31,2)</f>
        <v>#REF!</v>
      </c>
      <c r="G31" s="403" t="e">
        <f aca="false">ROUND((G$19+G$26)*$B31,2)</f>
        <v>#REF!</v>
      </c>
      <c r="I31" s="416"/>
      <c r="J31" s="416"/>
      <c r="K31" s="416"/>
      <c r="L31" s="416"/>
      <c r="M31" s="416"/>
    </row>
    <row r="32" customFormat="false" ht="15" hidden="false" customHeight="false" outlineLevel="0" collapsed="false">
      <c r="A32" s="399" t="s">
        <v>627</v>
      </c>
      <c r="B32" s="413" t="n">
        <v>0.015</v>
      </c>
      <c r="C32" s="401" t="e">
        <f aca="false">ROUND((C$19+C$26)*$B32,2)</f>
        <v>#REF!</v>
      </c>
      <c r="D32" s="401" t="e">
        <f aca="false">ROUND((D$19+D$26)*$B32,2)</f>
        <v>#REF!</v>
      </c>
      <c r="E32" s="401" t="e">
        <f aca="false">ROUND((E$19+E$26)*$B32,2)</f>
        <v>#REF!</v>
      </c>
      <c r="F32" s="401" t="e">
        <f aca="false">ROUND((F$19+F$26)*$B32,2)</f>
        <v>#REF!</v>
      </c>
      <c r="G32" s="403" t="e">
        <f aca="false">ROUND((G$19+G$26)*$B32,2)</f>
        <v>#REF!</v>
      </c>
      <c r="I32" s="416"/>
      <c r="J32" s="416"/>
      <c r="K32" s="416"/>
      <c r="L32" s="416"/>
      <c r="M32" s="416"/>
    </row>
    <row r="33" customFormat="false" ht="15" hidden="false" customHeight="false" outlineLevel="0" collapsed="false">
      <c r="A33" s="399" t="s">
        <v>628</v>
      </c>
      <c r="B33" s="413" t="n">
        <v>0.01</v>
      </c>
      <c r="C33" s="401" t="e">
        <f aca="false">ROUND((C$19+C$26)*$B33,2)</f>
        <v>#REF!</v>
      </c>
      <c r="D33" s="401" t="e">
        <f aca="false">ROUND((D$19+D$26)*$B33,2)</f>
        <v>#REF!</v>
      </c>
      <c r="E33" s="401" t="e">
        <f aca="false">ROUND((E$19+E$26)*$B33,2)</f>
        <v>#REF!</v>
      </c>
      <c r="F33" s="401" t="e">
        <f aca="false">ROUND((F$19+F$26)*$B33,2)</f>
        <v>#REF!</v>
      </c>
      <c r="G33" s="403" t="e">
        <f aca="false">ROUND((G$19+G$26)*$B33,2)</f>
        <v>#REF!</v>
      </c>
      <c r="I33" s="416"/>
      <c r="J33" s="416"/>
      <c r="K33" s="416"/>
      <c r="L33" s="416"/>
      <c r="M33" s="416"/>
    </row>
    <row r="34" customFormat="false" ht="15" hidden="false" customHeight="false" outlineLevel="0" collapsed="false">
      <c r="A34" s="399" t="s">
        <v>629</v>
      </c>
      <c r="B34" s="413" t="n">
        <v>0.006</v>
      </c>
      <c r="C34" s="401" t="e">
        <f aca="false">ROUND((C$19+C$26)*$B34,2)</f>
        <v>#REF!</v>
      </c>
      <c r="D34" s="401" t="e">
        <f aca="false">ROUND((D$19+D$26)*$B34,2)</f>
        <v>#REF!</v>
      </c>
      <c r="E34" s="401" t="e">
        <f aca="false">ROUND((E$19+E$26)*$B34,2)</f>
        <v>#REF!</v>
      </c>
      <c r="F34" s="401" t="e">
        <f aca="false">ROUND((F$19+F$26)*$B34,2)</f>
        <v>#REF!</v>
      </c>
      <c r="G34" s="403" t="e">
        <f aca="false">ROUND((G$19+G$26)*$B34,2)</f>
        <v>#REF!</v>
      </c>
      <c r="I34" s="416"/>
      <c r="J34" s="416"/>
      <c r="K34" s="416"/>
      <c r="L34" s="416"/>
      <c r="M34" s="416"/>
    </row>
    <row r="35" customFormat="false" ht="15" hidden="false" customHeight="false" outlineLevel="0" collapsed="false">
      <c r="A35" s="399" t="s">
        <v>630</v>
      </c>
      <c r="B35" s="413" t="n">
        <v>0.002</v>
      </c>
      <c r="C35" s="401" t="e">
        <f aca="false">ROUND((C$19+C$26)*$B35,2)</f>
        <v>#REF!</v>
      </c>
      <c r="D35" s="401" t="e">
        <f aca="false">ROUND((D$19+D$26)*$B35,2)</f>
        <v>#REF!</v>
      </c>
      <c r="E35" s="401" t="e">
        <f aca="false">ROUND((E$19+E$26)*$B35,2)</f>
        <v>#REF!</v>
      </c>
      <c r="F35" s="401" t="e">
        <f aca="false">ROUND((F$19+F$26)*$B35,2)</f>
        <v>#REF!</v>
      </c>
      <c r="G35" s="403" t="e">
        <f aca="false">ROUND((G$19+G$26)*$B35,2)</f>
        <v>#REF!</v>
      </c>
      <c r="I35" s="416"/>
      <c r="J35" s="416"/>
      <c r="K35" s="416"/>
      <c r="L35" s="416"/>
      <c r="M35" s="416"/>
    </row>
    <row r="36" customFormat="false" ht="15" hidden="false" customHeight="false" outlineLevel="0" collapsed="false">
      <c r="A36" s="396" t="s">
        <v>836</v>
      </c>
      <c r="B36" s="397"/>
      <c r="C36" s="419"/>
      <c r="D36" s="419"/>
      <c r="E36" s="419"/>
      <c r="F36" s="420"/>
      <c r="G36" s="421"/>
      <c r="I36" s="416"/>
      <c r="J36" s="416"/>
      <c r="K36" s="416"/>
      <c r="L36" s="416"/>
      <c r="M36" s="416"/>
    </row>
    <row r="37" customFormat="false" ht="15" hidden="false" customHeight="false" outlineLevel="0" collapsed="false">
      <c r="A37" s="399" t="s">
        <v>837</v>
      </c>
      <c r="B37" s="413" t="n">
        <v>0.08</v>
      </c>
      <c r="C37" s="401" t="e">
        <f aca="false">ROUND((C$19+C$26)*$B37,2)</f>
        <v>#REF!</v>
      </c>
      <c r="D37" s="401" t="e">
        <f aca="false">ROUND((D$19+D$26)*$B37,2)</f>
        <v>#REF!</v>
      </c>
      <c r="E37" s="401" t="e">
        <f aca="false">ROUND((E$19+E$26)*$B37,2)</f>
        <v>#REF!</v>
      </c>
      <c r="F37" s="401" t="e">
        <f aca="false">ROUND((F$19+F$26)*$B37,2)</f>
        <v>#REF!</v>
      </c>
      <c r="G37" s="403" t="e">
        <f aca="false">ROUND((G$19+G$26)*$B37,2)</f>
        <v>#REF!</v>
      </c>
      <c r="I37" s="416"/>
      <c r="J37" s="416"/>
      <c r="K37" s="416"/>
      <c r="L37" s="416"/>
      <c r="M37" s="416"/>
    </row>
    <row r="38" customFormat="false" ht="15" hidden="false" customHeight="false" outlineLevel="0" collapsed="false">
      <c r="A38" s="405" t="s">
        <v>7</v>
      </c>
      <c r="B38" s="414" t="n">
        <f aca="false">SUM(B29:B37)</f>
        <v>0.375407</v>
      </c>
      <c r="C38" s="407" t="e">
        <f aca="false">SUM(C29:C37)</f>
        <v>#REF!</v>
      </c>
      <c r="D38" s="407" t="e">
        <f aca="false">SUM(D29:D37)</f>
        <v>#REF!</v>
      </c>
      <c r="E38" s="407" t="e">
        <f aca="false">SUM(E29:E37)</f>
        <v>#REF!</v>
      </c>
      <c r="F38" s="407" t="e">
        <f aca="false">SUM(F29:F37)</f>
        <v>#REF!</v>
      </c>
      <c r="G38" s="408" t="e">
        <f aca="false">SUM(G29:G37)</f>
        <v>#REF!</v>
      </c>
      <c r="I38" s="415"/>
      <c r="J38" s="415"/>
      <c r="K38" s="415"/>
      <c r="L38" s="415"/>
      <c r="M38" s="415"/>
    </row>
    <row r="39" customFormat="false" ht="15" hidden="false" customHeight="false" outlineLevel="0" collapsed="false">
      <c r="A39" s="396" t="s">
        <v>632</v>
      </c>
      <c r="B39" s="397" t="s">
        <v>610</v>
      </c>
      <c r="C39" s="397" t="s">
        <v>610</v>
      </c>
      <c r="D39" s="397" t="s">
        <v>610</v>
      </c>
      <c r="E39" s="397" t="s">
        <v>610</v>
      </c>
      <c r="F39" s="397" t="s">
        <v>610</v>
      </c>
      <c r="G39" s="398" t="s">
        <v>610</v>
      </c>
      <c r="I39" s="416"/>
      <c r="J39" s="416"/>
      <c r="K39" s="416"/>
      <c r="L39" s="416"/>
      <c r="M39" s="416"/>
    </row>
    <row r="40" customFormat="false" ht="15" hidden="false" customHeight="false" outlineLevel="0" collapsed="false">
      <c r="A40" s="399" t="s">
        <v>838</v>
      </c>
      <c r="B40" s="422" t="e">
        <f aca="false">vt!#ref!*0.7</f>
        <v>#NAME?</v>
      </c>
      <c r="C40" s="401" t="e">
        <f aca="false">ROUND(((2*22*$B$40)-0.06*C4),2)</f>
        <v>#NAME?</v>
      </c>
      <c r="D40" s="401" t="e">
        <f aca="false">ROUND(((2*22*$B$40)-0.06*D4),2)</f>
        <v>#NAME?</v>
      </c>
      <c r="E40" s="401" t="e">
        <f aca="false">ROUND(((2*22*$B$40)-0.06*E4),2)</f>
        <v>#NAME?</v>
      </c>
      <c r="F40" s="401" t="e">
        <f aca="false">ROUND(((2*15*$B$40)-0.06*0.5*F$4)*2,2)</f>
        <v>#NAME?</v>
      </c>
      <c r="G40" s="403" t="e">
        <f aca="false">ROUND(((2*15*$B$40)-0.06*0.5*G4)*2,2)</f>
        <v>#NAME?</v>
      </c>
      <c r="I40" s="423"/>
      <c r="J40" s="416"/>
      <c r="K40" s="416"/>
      <c r="L40" s="416"/>
      <c r="M40" s="416"/>
    </row>
    <row r="41" s="498" customFormat="true" ht="12.75" hidden="false" customHeight="false" outlineLevel="0" collapsed="false">
      <c r="A41" s="424" t="s">
        <v>839</v>
      </c>
      <c r="B41" s="425" t="n">
        <v>27.4</v>
      </c>
      <c r="C41" s="426" t="n">
        <f aca="false">ROUND(($B$41*(1-0.2)*22),2)</f>
        <v>482.24</v>
      </c>
      <c r="D41" s="426" t="n">
        <f aca="false">ROUND(($B$41*(1-0.2)*22),2)</f>
        <v>482.24</v>
      </c>
      <c r="E41" s="426" t="n">
        <f aca="false">ROUND(($B$41*(1-0.2)*22),2)</f>
        <v>482.24</v>
      </c>
      <c r="F41" s="426" t="n">
        <f aca="false">ROUND(($B$41*(1-0.2)*15*2),2)</f>
        <v>657.6</v>
      </c>
      <c r="G41" s="427" t="n">
        <f aca="false">ROUND(($B$41*(1-0.2)*15*2),2)</f>
        <v>657.6</v>
      </c>
      <c r="I41" s="499"/>
      <c r="J41" s="499"/>
      <c r="K41" s="499"/>
      <c r="L41" s="499"/>
      <c r="M41" s="499"/>
    </row>
    <row r="42" customFormat="false" ht="15" hidden="false" customHeight="false" outlineLevel="0" collapsed="false">
      <c r="A42" s="399" t="s">
        <v>840</v>
      </c>
      <c r="B42" s="422"/>
      <c r="C42" s="401" t="e">
        <f aca="false">$B$42-#REF!</f>
        <v>#REF!</v>
      </c>
      <c r="D42" s="401" t="e">
        <f aca="false">$B$42-#REF!</f>
        <v>#REF!</v>
      </c>
      <c r="E42" s="401" t="e">
        <f aca="false">$B$42-#REF!</f>
        <v>#REF!</v>
      </c>
      <c r="F42" s="401" t="e">
        <f aca="false">($B$42-#REF!)*2</f>
        <v>#REF!</v>
      </c>
      <c r="G42" s="403" t="e">
        <f aca="false">($B$42-#REF!)*2</f>
        <v>#REF!</v>
      </c>
      <c r="I42" s="416"/>
      <c r="J42" s="428"/>
      <c r="K42" s="416"/>
      <c r="L42" s="416"/>
      <c r="M42" s="416"/>
    </row>
    <row r="43" customFormat="false" ht="15" hidden="false" customHeight="false" outlineLevel="0" collapsed="false">
      <c r="A43" s="399" t="s">
        <v>841</v>
      </c>
      <c r="B43" s="422"/>
      <c r="C43" s="401" t="n">
        <f aca="false">B43</f>
        <v>0</v>
      </c>
      <c r="D43" s="401" t="n">
        <f aca="false">B43</f>
        <v>0</v>
      </c>
      <c r="E43" s="401" t="n">
        <f aca="false">B43</f>
        <v>0</v>
      </c>
      <c r="F43" s="402" t="n">
        <f aca="false">B43*2</f>
        <v>0</v>
      </c>
      <c r="G43" s="403" t="n">
        <f aca="false">B43*2</f>
        <v>0</v>
      </c>
      <c r="I43" s="416"/>
      <c r="J43" s="416"/>
      <c r="K43" s="416"/>
      <c r="L43" s="416"/>
      <c r="M43" s="416"/>
    </row>
    <row r="44" customFormat="false" ht="15" hidden="false" customHeight="false" outlineLevel="0" collapsed="false">
      <c r="A44" s="399" t="s">
        <v>639</v>
      </c>
      <c r="B44" s="422"/>
      <c r="C44" s="401" t="n">
        <v>0</v>
      </c>
      <c r="D44" s="401" t="n">
        <v>0</v>
      </c>
      <c r="E44" s="401" t="n">
        <v>0</v>
      </c>
      <c r="F44" s="402" t="n">
        <v>0</v>
      </c>
      <c r="G44" s="403" t="n">
        <v>0</v>
      </c>
      <c r="I44" s="416"/>
      <c r="J44" s="416"/>
      <c r="K44" s="416"/>
      <c r="L44" s="416"/>
      <c r="M44" s="416"/>
    </row>
    <row r="45" customFormat="false" ht="15" hidden="false" customHeight="false" outlineLevel="0" collapsed="false">
      <c r="A45" s="405" t="s">
        <v>7</v>
      </c>
      <c r="B45" s="397"/>
      <c r="C45" s="407" t="e">
        <f aca="false">SUM(C40:C44)</f>
        <v>#NAME?</v>
      </c>
      <c r="D45" s="407" t="e">
        <f aca="false">SUM(D40:D44)</f>
        <v>#NAME?</v>
      </c>
      <c r="E45" s="407" t="e">
        <f aca="false">SUM(E40:E44)</f>
        <v>#NAME?</v>
      </c>
      <c r="F45" s="407" t="e">
        <f aca="false">SUM(F40:F44)</f>
        <v>#NAME?</v>
      </c>
      <c r="G45" s="408" t="e">
        <f aca="false">SUM(G40:G44)</f>
        <v>#NAME?</v>
      </c>
      <c r="I45" s="416"/>
      <c r="J45" s="416"/>
      <c r="K45" s="416"/>
      <c r="L45" s="416"/>
      <c r="M45" s="416"/>
    </row>
    <row r="46" customFormat="false" ht="15" hidden="false" customHeight="false" outlineLevel="0" collapsed="false">
      <c r="A46" s="396" t="s">
        <v>842</v>
      </c>
      <c r="B46" s="397" t="s">
        <v>609</v>
      </c>
      <c r="C46" s="397" t="s">
        <v>610</v>
      </c>
      <c r="D46" s="397" t="s">
        <v>610</v>
      </c>
      <c r="E46" s="397" t="s">
        <v>610</v>
      </c>
      <c r="F46" s="397" t="s">
        <v>610</v>
      </c>
      <c r="G46" s="398" t="s">
        <v>610</v>
      </c>
      <c r="I46" s="416"/>
      <c r="J46" s="416"/>
      <c r="K46" s="416"/>
      <c r="L46" s="416"/>
      <c r="M46" s="416"/>
    </row>
    <row r="47" customFormat="false" ht="15" hidden="false" customHeight="false" outlineLevel="0" collapsed="false">
      <c r="A47" s="399" t="s">
        <v>619</v>
      </c>
      <c r="B47" s="413" t="n">
        <f aca="false">B26</f>
        <v>0.111111111111111</v>
      </c>
      <c r="C47" s="401" t="e">
        <f aca="false">C26</f>
        <v>#REF!</v>
      </c>
      <c r="D47" s="401" t="e">
        <f aca="false">D26</f>
        <v>#REF!</v>
      </c>
      <c r="E47" s="401" t="e">
        <f aca="false">E26</f>
        <v>#REF!</v>
      </c>
      <c r="F47" s="401" t="e">
        <f aca="false">F26</f>
        <v>#REF!</v>
      </c>
      <c r="G47" s="403" t="e">
        <f aca="false">G26</f>
        <v>#REF!</v>
      </c>
      <c r="I47" s="416"/>
      <c r="J47" s="416"/>
      <c r="K47" s="416"/>
      <c r="L47" s="416"/>
      <c r="M47" s="416"/>
    </row>
    <row r="48" customFormat="false" ht="15" hidden="false" customHeight="false" outlineLevel="0" collapsed="false">
      <c r="A48" s="399" t="s">
        <v>641</v>
      </c>
      <c r="B48" s="413" t="n">
        <f aca="false">B38</f>
        <v>0.375407</v>
      </c>
      <c r="C48" s="401" t="e">
        <f aca="false">C38</f>
        <v>#REF!</v>
      </c>
      <c r="D48" s="401" t="e">
        <f aca="false">D38</f>
        <v>#REF!</v>
      </c>
      <c r="E48" s="401" t="e">
        <f aca="false">E38</f>
        <v>#REF!</v>
      </c>
      <c r="F48" s="401" t="e">
        <f aca="false">F38</f>
        <v>#REF!</v>
      </c>
      <c r="G48" s="403" t="e">
        <f aca="false">G38</f>
        <v>#REF!</v>
      </c>
      <c r="I48" s="416"/>
      <c r="J48" s="416"/>
      <c r="K48" s="416"/>
      <c r="L48" s="416"/>
      <c r="M48" s="416"/>
    </row>
    <row r="49" customFormat="false" ht="15" hidden="false" customHeight="false" outlineLevel="0" collapsed="false">
      <c r="A49" s="399" t="s">
        <v>632</v>
      </c>
      <c r="B49" s="429" t="s">
        <v>19</v>
      </c>
      <c r="C49" s="401" t="e">
        <f aca="false">C45</f>
        <v>#NAME?</v>
      </c>
      <c r="D49" s="401" t="e">
        <f aca="false">D45</f>
        <v>#NAME?</v>
      </c>
      <c r="E49" s="401" t="e">
        <f aca="false">E45</f>
        <v>#NAME?</v>
      </c>
      <c r="F49" s="401" t="e">
        <f aca="false">F45</f>
        <v>#NAME?</v>
      </c>
      <c r="G49" s="403" t="e">
        <f aca="false">G45</f>
        <v>#NAME?</v>
      </c>
      <c r="I49" s="416"/>
      <c r="J49" s="416"/>
      <c r="K49" s="416"/>
      <c r="L49" s="416"/>
      <c r="M49" s="416"/>
    </row>
    <row r="50" customFormat="false" ht="15" hidden="false" customHeight="false" outlineLevel="0" collapsed="false">
      <c r="A50" s="405" t="s">
        <v>7</v>
      </c>
      <c r="B50" s="397"/>
      <c r="C50" s="407" t="e">
        <f aca="false">SUM(C47:C49)</f>
        <v>#REF!</v>
      </c>
      <c r="D50" s="407" t="e">
        <f aca="false">D47+D48+D49</f>
        <v>#REF!</v>
      </c>
      <c r="E50" s="407" t="e">
        <f aca="false">E47+E48+E49</f>
        <v>#REF!</v>
      </c>
      <c r="F50" s="407" t="e">
        <f aca="false">F47+F48+F49</f>
        <v>#REF!</v>
      </c>
      <c r="G50" s="408" t="e">
        <f aca="false">G47+G48+G49</f>
        <v>#REF!</v>
      </c>
      <c r="I50" s="416"/>
      <c r="J50" s="416"/>
      <c r="K50" s="416"/>
      <c r="L50" s="416"/>
      <c r="M50" s="416"/>
    </row>
    <row r="51" customFormat="false" ht="6" hidden="false" customHeight="true" outlineLevel="0" collapsed="false">
      <c r="A51" s="399"/>
      <c r="B51" s="409"/>
      <c r="C51" s="409"/>
      <c r="D51" s="409"/>
      <c r="E51" s="409"/>
      <c r="F51" s="410"/>
      <c r="G51" s="411"/>
      <c r="I51" s="416"/>
      <c r="J51" s="416"/>
      <c r="K51" s="416"/>
      <c r="L51" s="416"/>
      <c r="M51" s="416"/>
    </row>
    <row r="52" customFormat="false" ht="15" hidden="false" customHeight="false" outlineLevel="0" collapsed="false">
      <c r="A52" s="412" t="s">
        <v>642</v>
      </c>
      <c r="B52" s="412"/>
      <c r="C52" s="412"/>
      <c r="D52" s="412"/>
      <c r="E52" s="412"/>
      <c r="F52" s="412"/>
      <c r="G52" s="412"/>
      <c r="I52" s="416"/>
      <c r="J52" s="416"/>
      <c r="K52" s="416"/>
      <c r="L52" s="416"/>
      <c r="M52" s="416"/>
    </row>
    <row r="53" customFormat="false" ht="15" hidden="false" customHeight="false" outlineLevel="0" collapsed="false">
      <c r="A53" s="396" t="s">
        <v>843</v>
      </c>
      <c r="B53" s="397" t="s">
        <v>609</v>
      </c>
      <c r="C53" s="397" t="s">
        <v>610</v>
      </c>
      <c r="D53" s="397" t="s">
        <v>610</v>
      </c>
      <c r="E53" s="397" t="s">
        <v>610</v>
      </c>
      <c r="F53" s="397" t="s">
        <v>610</v>
      </c>
      <c r="G53" s="398" t="s">
        <v>610</v>
      </c>
      <c r="I53" s="416"/>
      <c r="J53" s="416"/>
      <c r="K53" s="416"/>
      <c r="L53" s="416"/>
      <c r="M53" s="416"/>
    </row>
    <row r="54" customFormat="false" ht="15" hidden="false" customHeight="false" outlineLevel="0" collapsed="false">
      <c r="A54" s="399" t="s">
        <v>644</v>
      </c>
      <c r="B54" s="413" t="e">
        <f aca="false">1/12*#REF!</f>
        <v>#REF!</v>
      </c>
      <c r="C54" s="430" t="e">
        <f aca="false">(C$19+C$26+C$37+C$45)*$B54</f>
        <v>#REF!</v>
      </c>
      <c r="D54" s="430" t="e">
        <f aca="false">(D$19+D$26+D$37+D$45)*$B54</f>
        <v>#REF!</v>
      </c>
      <c r="E54" s="430" t="e">
        <f aca="false">(E$19+E$26+E$37+E$45)*$B54</f>
        <v>#REF!</v>
      </c>
      <c r="F54" s="430" t="e">
        <f aca="false">(F$19+F$26+F$37+F$45)*$B54</f>
        <v>#REF!</v>
      </c>
      <c r="G54" s="431" t="e">
        <f aca="false">(G$19+G$26+G$37+G$45)*$B54</f>
        <v>#REF!</v>
      </c>
      <c r="I54" s="416"/>
      <c r="J54" s="416"/>
      <c r="K54" s="416"/>
      <c r="L54" s="416"/>
      <c r="M54" s="416"/>
    </row>
    <row r="55" customFormat="false" ht="15" hidden="false" customHeight="false" outlineLevel="0" collapsed="false">
      <c r="A55" s="399" t="s">
        <v>844</v>
      </c>
      <c r="B55" s="413" t="e">
        <f aca="false">0.4*#REF!</f>
        <v>#REF!</v>
      </c>
      <c r="C55" s="430" t="e">
        <f aca="false">C37*$B55</f>
        <v>#REF!</v>
      </c>
      <c r="D55" s="430" t="e">
        <f aca="false">D37*$B55</f>
        <v>#REF!</v>
      </c>
      <c r="E55" s="430" t="e">
        <f aca="false">E37*$B55</f>
        <v>#REF!</v>
      </c>
      <c r="F55" s="430" t="e">
        <f aca="false">F37*$B55</f>
        <v>#REF!</v>
      </c>
      <c r="G55" s="431" t="e">
        <f aca="false">G37*$B55</f>
        <v>#REF!</v>
      </c>
      <c r="I55" s="416"/>
      <c r="J55" s="416"/>
      <c r="K55" s="416"/>
      <c r="L55" s="416"/>
      <c r="M55" s="416"/>
    </row>
    <row r="56" customFormat="false" ht="15" hidden="false" customHeight="false" outlineLevel="0" collapsed="false">
      <c r="A56" s="405" t="s">
        <v>7</v>
      </c>
      <c r="B56" s="432"/>
      <c r="C56" s="433" t="e">
        <f aca="false">SUM(C54:C55)</f>
        <v>#REF!</v>
      </c>
      <c r="D56" s="433" t="e">
        <f aca="false">SUM(D54:D55)</f>
        <v>#REF!</v>
      </c>
      <c r="E56" s="433" t="e">
        <f aca="false">SUM(E54:E55)</f>
        <v>#REF!</v>
      </c>
      <c r="F56" s="433" t="e">
        <f aca="false">SUM(F54:F55)</f>
        <v>#REF!</v>
      </c>
      <c r="G56" s="434" t="e">
        <f aca="false">SUM(G54:G55)</f>
        <v>#REF!</v>
      </c>
      <c r="I56" s="416"/>
      <c r="J56" s="416"/>
      <c r="K56" s="416"/>
      <c r="L56" s="416"/>
      <c r="M56" s="416"/>
    </row>
    <row r="57" customFormat="false" ht="15" hidden="false" customHeight="false" outlineLevel="0" collapsed="false">
      <c r="A57" s="396" t="s">
        <v>845</v>
      </c>
      <c r="B57" s="397" t="s">
        <v>609</v>
      </c>
      <c r="C57" s="397" t="s">
        <v>610</v>
      </c>
      <c r="D57" s="397" t="s">
        <v>610</v>
      </c>
      <c r="E57" s="397" t="s">
        <v>610</v>
      </c>
      <c r="F57" s="417" t="s">
        <v>610</v>
      </c>
      <c r="G57" s="398" t="s">
        <v>610</v>
      </c>
      <c r="I57" s="416"/>
      <c r="J57" s="416"/>
      <c r="K57" s="416"/>
      <c r="L57" s="416"/>
      <c r="M57" s="416"/>
    </row>
    <row r="58" customFormat="false" ht="15" hidden="false" customHeight="false" outlineLevel="0" collapsed="false">
      <c r="A58" s="399" t="s">
        <v>846</v>
      </c>
      <c r="B58" s="413" t="e">
        <f aca="false">1/12*#REF!</f>
        <v>#REF!</v>
      </c>
      <c r="C58" s="435" t="e">
        <f aca="false">(C19+C50)*$B58</f>
        <v>#REF!</v>
      </c>
      <c r="D58" s="435" t="e">
        <f aca="false">(D19+D50)*$B58</f>
        <v>#REF!</v>
      </c>
      <c r="E58" s="435" t="e">
        <f aca="false">(E19+E50)*$B58</f>
        <v>#REF!</v>
      </c>
      <c r="F58" s="435" t="e">
        <f aca="false">(F19+F50)*$B58</f>
        <v>#REF!</v>
      </c>
      <c r="G58" s="436" t="e">
        <f aca="false">(G19+G50)*$B58</f>
        <v>#REF!</v>
      </c>
      <c r="I58" s="416"/>
      <c r="J58" s="416"/>
      <c r="K58" s="416"/>
      <c r="L58" s="416"/>
      <c r="M58" s="416"/>
    </row>
    <row r="59" customFormat="false" ht="15" hidden="false" customHeight="false" outlineLevel="0" collapsed="false">
      <c r="A59" s="399" t="s">
        <v>847</v>
      </c>
      <c r="B59" s="413" t="e">
        <f aca="false">0.4*#REF!</f>
        <v>#REF!</v>
      </c>
      <c r="C59" s="435" t="e">
        <f aca="false">$B59*C37</f>
        <v>#REF!</v>
      </c>
      <c r="D59" s="435" t="e">
        <f aca="false">$B59*D37</f>
        <v>#REF!</v>
      </c>
      <c r="E59" s="435" t="e">
        <f aca="false">$B59*E37</f>
        <v>#REF!</v>
      </c>
      <c r="F59" s="435" t="e">
        <f aca="false">$B59*F37</f>
        <v>#REF!</v>
      </c>
      <c r="G59" s="436" t="e">
        <f aca="false">$B59*G37</f>
        <v>#REF!</v>
      </c>
      <c r="I59" s="416"/>
      <c r="J59" s="416"/>
      <c r="K59" s="416"/>
      <c r="L59" s="416"/>
      <c r="M59" s="416"/>
    </row>
    <row r="60" customFormat="false" ht="15" hidden="false" customHeight="false" outlineLevel="0" collapsed="false">
      <c r="A60" s="405" t="s">
        <v>7</v>
      </c>
      <c r="B60" s="432"/>
      <c r="C60" s="407" t="e">
        <f aca="false">SUM(C58:C59)</f>
        <v>#REF!</v>
      </c>
      <c r="D60" s="407" t="e">
        <f aca="false">SUM(D58:D59)</f>
        <v>#REF!</v>
      </c>
      <c r="E60" s="407" t="e">
        <f aca="false">SUM(E58:E59)</f>
        <v>#REF!</v>
      </c>
      <c r="F60" s="407" t="e">
        <f aca="false">SUM(F58:F59)</f>
        <v>#REF!</v>
      </c>
      <c r="G60" s="408" t="e">
        <f aca="false">SUM(G58:G59)</f>
        <v>#REF!</v>
      </c>
      <c r="I60" s="416"/>
      <c r="J60" s="416"/>
      <c r="K60" s="416"/>
      <c r="L60" s="416"/>
      <c r="M60" s="416"/>
    </row>
    <row r="61" customFormat="false" ht="15" hidden="false" customHeight="false" outlineLevel="0" collapsed="false">
      <c r="A61" s="396" t="s">
        <v>848</v>
      </c>
      <c r="B61" s="397" t="s">
        <v>609</v>
      </c>
      <c r="C61" s="397" t="s">
        <v>610</v>
      </c>
      <c r="D61" s="397" t="s">
        <v>610</v>
      </c>
      <c r="E61" s="397" t="s">
        <v>610</v>
      </c>
      <c r="F61" s="417" t="s">
        <v>610</v>
      </c>
      <c r="G61" s="398" t="s">
        <v>610</v>
      </c>
      <c r="I61" s="416"/>
      <c r="J61" s="416"/>
      <c r="K61" s="416"/>
      <c r="L61" s="416"/>
      <c r="M61" s="416"/>
    </row>
    <row r="62" customFormat="false" ht="15" hidden="false" customHeight="false" outlineLevel="0" collapsed="false">
      <c r="A62" s="399" t="s">
        <v>849</v>
      </c>
      <c r="B62" s="413" t="e">
        <f aca="false">#REF!</f>
        <v>#REF!</v>
      </c>
      <c r="C62" s="435" t="e">
        <f aca="false">(C23*$B$62)*-1</f>
        <v>#REF!</v>
      </c>
      <c r="D62" s="435" t="e">
        <f aca="false">(D23*$B$62)*-1</f>
        <v>#REF!</v>
      </c>
      <c r="E62" s="435" t="e">
        <f aca="false">(E23*$B$62)*-1</f>
        <v>#REF!</v>
      </c>
      <c r="F62" s="435" t="e">
        <f aca="false">(F23*$B$62)*-1</f>
        <v>#REF!</v>
      </c>
      <c r="G62" s="436" t="e">
        <f aca="false">(G23*$B$62)*-1</f>
        <v>#REF!</v>
      </c>
      <c r="I62" s="416"/>
      <c r="J62" s="416"/>
      <c r="K62" s="416"/>
      <c r="L62" s="416"/>
      <c r="M62" s="416"/>
    </row>
    <row r="63" customFormat="false" ht="15" hidden="false" customHeight="false" outlineLevel="0" collapsed="false">
      <c r="A63" s="399" t="s">
        <v>850</v>
      </c>
      <c r="B63" s="413" t="e">
        <f aca="false">#REF!</f>
        <v>#REF!</v>
      </c>
      <c r="C63" s="435" t="e">
        <f aca="false">(C24*$B$63)*-1</f>
        <v>#REF!</v>
      </c>
      <c r="D63" s="435" t="e">
        <f aca="false">(D24*$B$63)*-1</f>
        <v>#REF!</v>
      </c>
      <c r="E63" s="435" t="e">
        <f aca="false">(E24*$B$63)*-1</f>
        <v>#REF!</v>
      </c>
      <c r="F63" s="435" t="e">
        <f aca="false">(F24*$B$63)*-1</f>
        <v>#REF!</v>
      </c>
      <c r="G63" s="436" t="e">
        <f aca="false">(G24*$B$63)*-1</f>
        <v>#REF!</v>
      </c>
      <c r="I63" s="416"/>
      <c r="J63" s="416"/>
      <c r="K63" s="416"/>
      <c r="L63" s="416"/>
      <c r="M63" s="416"/>
    </row>
    <row r="64" customFormat="false" ht="15" hidden="false" customHeight="false" outlineLevel="0" collapsed="false">
      <c r="A64" s="399" t="s">
        <v>851</v>
      </c>
      <c r="B64" s="413" t="e">
        <f aca="false">#REF!</f>
        <v>#REF!</v>
      </c>
      <c r="C64" s="435" t="e">
        <f aca="false">(C25*$B$64)*-1</f>
        <v>#REF!</v>
      </c>
      <c r="D64" s="435" t="e">
        <f aca="false">(D25*$B$64)*-1</f>
        <v>#REF!</v>
      </c>
      <c r="E64" s="435" t="e">
        <f aca="false">(E25*$B$64)*-1</f>
        <v>#REF!</v>
      </c>
      <c r="F64" s="435" t="e">
        <f aca="false">(F25*$B$64)*-1</f>
        <v>#REF!</v>
      </c>
      <c r="G64" s="436" t="e">
        <f aca="false">(G25*$B$64)*-1</f>
        <v>#REF!</v>
      </c>
      <c r="I64" s="416"/>
      <c r="J64" s="416"/>
      <c r="K64" s="416"/>
      <c r="L64" s="416"/>
      <c r="M64" s="416"/>
    </row>
    <row r="65" customFormat="false" ht="15" hidden="false" customHeight="false" outlineLevel="0" collapsed="false">
      <c r="A65" s="405" t="s">
        <v>7</v>
      </c>
      <c r="B65" s="432"/>
      <c r="C65" s="407" t="e">
        <f aca="false">SUM(C62:C64)</f>
        <v>#REF!</v>
      </c>
      <c r="D65" s="407" t="e">
        <f aca="false">SUM(D62:D64)</f>
        <v>#REF!</v>
      </c>
      <c r="E65" s="407" t="e">
        <f aca="false">SUM(E62:E64)</f>
        <v>#REF!</v>
      </c>
      <c r="F65" s="407" t="e">
        <f aca="false">SUM(F62:F64)</f>
        <v>#REF!</v>
      </c>
      <c r="G65" s="408" t="e">
        <f aca="false">SUM(G62:G64)</f>
        <v>#REF!</v>
      </c>
      <c r="I65" s="416"/>
      <c r="J65" s="416"/>
      <c r="K65" s="416"/>
      <c r="L65" s="416"/>
      <c r="M65" s="416"/>
    </row>
    <row r="66" customFormat="false" ht="15" hidden="false" customHeight="false" outlineLevel="0" collapsed="false">
      <c r="A66" s="396" t="s">
        <v>643</v>
      </c>
      <c r="B66" s="397" t="s">
        <v>609</v>
      </c>
      <c r="C66" s="397" t="s">
        <v>610</v>
      </c>
      <c r="D66" s="397" t="s">
        <v>610</v>
      </c>
      <c r="E66" s="397" t="s">
        <v>610</v>
      </c>
      <c r="F66" s="417" t="s">
        <v>610</v>
      </c>
      <c r="G66" s="398" t="s">
        <v>610</v>
      </c>
      <c r="I66" s="416"/>
      <c r="J66" s="416"/>
      <c r="K66" s="416"/>
      <c r="L66" s="416"/>
      <c r="M66" s="416"/>
    </row>
    <row r="67" customFormat="false" ht="15" hidden="false" customHeight="false" outlineLevel="0" collapsed="false">
      <c r="A67" s="399" t="s">
        <v>644</v>
      </c>
      <c r="B67" s="437"/>
      <c r="C67" s="435" t="e">
        <f aca="false">C56</f>
        <v>#REF!</v>
      </c>
      <c r="D67" s="435" t="e">
        <f aca="false">D56</f>
        <v>#REF!</v>
      </c>
      <c r="E67" s="435" t="e">
        <f aca="false">E56</f>
        <v>#REF!</v>
      </c>
      <c r="F67" s="435" t="e">
        <f aca="false">F56</f>
        <v>#REF!</v>
      </c>
      <c r="G67" s="436" t="e">
        <f aca="false">G56</f>
        <v>#REF!</v>
      </c>
      <c r="I67" s="416"/>
      <c r="J67" s="416"/>
      <c r="K67" s="416"/>
      <c r="L67" s="416"/>
      <c r="M67" s="416"/>
    </row>
    <row r="68" customFormat="false" ht="15" hidden="false" customHeight="false" outlineLevel="0" collapsed="false">
      <c r="A68" s="399" t="s">
        <v>852</v>
      </c>
      <c r="B68" s="437"/>
      <c r="C68" s="435" t="e">
        <f aca="false">C60</f>
        <v>#REF!</v>
      </c>
      <c r="D68" s="435" t="e">
        <f aca="false">D60</f>
        <v>#REF!</v>
      </c>
      <c r="E68" s="435" t="e">
        <f aca="false">E60</f>
        <v>#REF!</v>
      </c>
      <c r="F68" s="435" t="e">
        <f aca="false">F60</f>
        <v>#REF!</v>
      </c>
      <c r="G68" s="436" t="e">
        <f aca="false">G60</f>
        <v>#REF!</v>
      </c>
      <c r="I68" s="416"/>
      <c r="J68" s="416"/>
      <c r="K68" s="416"/>
      <c r="L68" s="416"/>
      <c r="M68" s="416"/>
    </row>
    <row r="69" customFormat="false" ht="15" hidden="false" customHeight="false" outlineLevel="0" collapsed="false">
      <c r="A69" s="399" t="s">
        <v>853</v>
      </c>
      <c r="B69" s="437"/>
      <c r="C69" s="435" t="e">
        <f aca="false">C65</f>
        <v>#REF!</v>
      </c>
      <c r="D69" s="435" t="e">
        <f aca="false">D65</f>
        <v>#REF!</v>
      </c>
      <c r="E69" s="435" t="e">
        <f aca="false">E65</f>
        <v>#REF!</v>
      </c>
      <c r="F69" s="435" t="e">
        <f aca="false">F65</f>
        <v>#REF!</v>
      </c>
      <c r="G69" s="436" t="e">
        <f aca="false">G65</f>
        <v>#REF!</v>
      </c>
      <c r="I69" s="416"/>
      <c r="J69" s="416"/>
      <c r="K69" s="416"/>
      <c r="L69" s="416"/>
      <c r="M69" s="416"/>
    </row>
    <row r="70" customFormat="false" ht="15" hidden="false" customHeight="false" outlineLevel="0" collapsed="false">
      <c r="A70" s="405" t="s">
        <v>7</v>
      </c>
      <c r="B70" s="414"/>
      <c r="C70" s="407" t="e">
        <f aca="false">SUM(C67:C69)</f>
        <v>#REF!</v>
      </c>
      <c r="D70" s="407" t="e">
        <f aca="false">SUM(D67:D69)</f>
        <v>#REF!</v>
      </c>
      <c r="E70" s="407" t="e">
        <f aca="false">SUM(E67:E69)</f>
        <v>#REF!</v>
      </c>
      <c r="F70" s="407" t="e">
        <f aca="false">SUM(F67:F69)</f>
        <v>#REF!</v>
      </c>
      <c r="G70" s="408" t="e">
        <f aca="false">SUM(G67:G69)</f>
        <v>#REF!</v>
      </c>
      <c r="I70" s="415"/>
      <c r="J70" s="415"/>
      <c r="K70" s="415"/>
      <c r="L70" s="415"/>
      <c r="M70" s="415"/>
    </row>
    <row r="71" customFormat="false" ht="7.5" hidden="false" customHeight="true" outlineLevel="0" collapsed="false">
      <c r="A71" s="438"/>
      <c r="B71" s="439"/>
      <c r="C71" s="440"/>
      <c r="D71" s="440"/>
      <c r="E71" s="440"/>
      <c r="F71" s="440"/>
      <c r="G71" s="441"/>
      <c r="I71" s="416"/>
      <c r="J71" s="416"/>
      <c r="K71" s="416"/>
      <c r="L71" s="416"/>
      <c r="M71" s="416"/>
    </row>
    <row r="72" customFormat="false" ht="15" hidden="false" customHeight="false" outlineLevel="0" collapsed="false">
      <c r="A72" s="442" t="s">
        <v>650</v>
      </c>
      <c r="B72" s="442"/>
      <c r="C72" s="442"/>
      <c r="D72" s="442"/>
      <c r="E72" s="442"/>
      <c r="F72" s="442"/>
      <c r="G72" s="442"/>
      <c r="I72" s="416"/>
      <c r="J72" s="416"/>
      <c r="K72" s="416"/>
      <c r="L72" s="416"/>
      <c r="M72" s="416"/>
    </row>
    <row r="73" customFormat="false" ht="15" hidden="false" customHeight="false" outlineLevel="0" collapsed="false">
      <c r="A73" s="443" t="s">
        <v>854</v>
      </c>
      <c r="B73" s="444" t="s">
        <v>609</v>
      </c>
      <c r="C73" s="444" t="s">
        <v>610</v>
      </c>
      <c r="D73" s="444" t="s">
        <v>610</v>
      </c>
      <c r="E73" s="444" t="s">
        <v>610</v>
      </c>
      <c r="F73" s="444" t="s">
        <v>610</v>
      </c>
      <c r="G73" s="445" t="s">
        <v>610</v>
      </c>
      <c r="I73" s="416"/>
      <c r="J73" s="416"/>
      <c r="K73" s="416"/>
      <c r="L73" s="416"/>
      <c r="M73" s="416"/>
    </row>
    <row r="74" customFormat="false" ht="15" hidden="false" customHeight="false" outlineLevel="0" collapsed="false">
      <c r="A74" s="399" t="s">
        <v>855</v>
      </c>
      <c r="B74" s="413"/>
      <c r="C74" s="401" t="e">
        <f aca="false">ROUND(#REF!/30/12*(C$19+C$50+C$70-C45),2)</f>
        <v>#REF!</v>
      </c>
      <c r="D74" s="401" t="e">
        <f aca="false">ROUND(#REF!/30/12*(D$19+D$50+D$70-D45),2)</f>
        <v>#REF!</v>
      </c>
      <c r="E74" s="401" t="e">
        <f aca="false">ROUND(#REF!/30/12*(E$19+E$50+E$70-E45),2)</f>
        <v>#REF!</v>
      </c>
      <c r="F74" s="401" t="e">
        <f aca="false">ROUND(#REF!/30/12*(F$19+F$50+F$70-F45),2)</f>
        <v>#REF!</v>
      </c>
      <c r="G74" s="401" t="e">
        <f aca="false">ROUND(#REF!/30/12*(G$19+G$50+G$70-G45),2)</f>
        <v>#REF!</v>
      </c>
      <c r="I74" s="415"/>
      <c r="J74" s="415"/>
      <c r="K74" s="415"/>
      <c r="L74" s="415"/>
      <c r="M74" s="415"/>
    </row>
    <row r="75" customFormat="false" ht="15" hidden="false" customHeight="false" outlineLevel="0" collapsed="false">
      <c r="A75" s="399" t="s">
        <v>856</v>
      </c>
      <c r="B75" s="413"/>
      <c r="C75" s="401" t="e">
        <f aca="false">ROUND((SUM(#REF!)-(#REF!+#REF!))/30/12*(C$19+C$50+C$70-C45),2)</f>
        <v>#REF!</v>
      </c>
      <c r="D75" s="401" t="e">
        <f aca="false">ROUND((SUM(#REF!)-(#REF!+#REF!))/30/12*(D$19+D$50+D$70-D45),2)</f>
        <v>#REF!</v>
      </c>
      <c r="E75" s="401" t="e">
        <f aca="false">ROUND((SUM(#REF!)-(#REF!+#REF!))/30/12*(E$19+E$50+E$70-E45),2)</f>
        <v>#REF!</v>
      </c>
      <c r="F75" s="401" t="e">
        <f aca="false">ROUND((SUM(#REF!)-(#REF!+#REF!))/30/12*(F$19+F$50+F$70-F45),2)</f>
        <v>#REF!</v>
      </c>
      <c r="G75" s="401" t="e">
        <f aca="false">ROUND((SUM(#REF!)-(#REF!+#REF!))/30/12*(G$19+G$50+G$70-G45),2)</f>
        <v>#REF!</v>
      </c>
      <c r="I75" s="415"/>
      <c r="J75" s="415"/>
      <c r="K75" s="415"/>
      <c r="L75" s="415"/>
      <c r="M75" s="415"/>
    </row>
    <row r="76" customFormat="false" ht="15" hidden="false" customHeight="false" outlineLevel="0" collapsed="false">
      <c r="A76" s="399" t="s">
        <v>857</v>
      </c>
      <c r="B76" s="413"/>
      <c r="C76" s="401" t="e">
        <f aca="false">ROUND(#REF!/30/12*(C$19+C$50+C$70-C45),2)</f>
        <v>#REF!</v>
      </c>
      <c r="D76" s="401" t="e">
        <f aca="false">ROUND(#REF!/30/12*(D$19+D$50+D$70-D45),2)</f>
        <v>#REF!</v>
      </c>
      <c r="E76" s="401" t="e">
        <f aca="false">ROUND(#REF!/30/12*(E$19+E$50+E$70-E45),2)</f>
        <v>#REF!</v>
      </c>
      <c r="F76" s="401" t="e">
        <f aca="false">ROUND(#REF!/30/12*(F$19+F$50+F$70-F45),2)</f>
        <v>#REF!</v>
      </c>
      <c r="G76" s="403" t="e">
        <f aca="false">ROUND(#REF!/30/12*(G$19+G$50+G$70-G45),2)</f>
        <v>#REF!</v>
      </c>
      <c r="I76" s="415"/>
      <c r="J76" s="415"/>
      <c r="K76" s="415"/>
      <c r="L76" s="415"/>
      <c r="M76" s="415"/>
    </row>
    <row r="77" customFormat="false" ht="15" hidden="false" customHeight="false" outlineLevel="0" collapsed="false">
      <c r="A77" s="399" t="s">
        <v>858</v>
      </c>
      <c r="B77" s="413"/>
      <c r="C77" s="401" t="e">
        <f aca="false">ROUND(#REF!/30/12*(C$19+C$50+C$70-C45),2)</f>
        <v>#REF!</v>
      </c>
      <c r="D77" s="401" t="e">
        <f aca="false">ROUND(#REF!/30/12*(D$19+D$50+D$70-D45),2)</f>
        <v>#REF!</v>
      </c>
      <c r="E77" s="401" t="e">
        <f aca="false">ROUND(#REF!/30/12*(E$19+E$50+E$70-E45),2)</f>
        <v>#REF!</v>
      </c>
      <c r="F77" s="401" t="e">
        <f aca="false">ROUND(#REF!/30/12*(F$19+F$50+F$70-F45),2)</f>
        <v>#REF!</v>
      </c>
      <c r="G77" s="403" t="e">
        <f aca="false">ROUND(#REF!/30/12*(G$19+G$50+G$70-G45),2)</f>
        <v>#REF!</v>
      </c>
      <c r="I77" s="415"/>
      <c r="J77" s="415"/>
      <c r="K77" s="415"/>
      <c r="L77" s="415"/>
      <c r="M77" s="415"/>
    </row>
    <row r="78" customFormat="false" ht="15" hidden="false" customHeight="false" outlineLevel="0" collapsed="false">
      <c r="A78" s="399" t="s">
        <v>668</v>
      </c>
      <c r="B78" s="413"/>
      <c r="C78" s="401"/>
      <c r="D78" s="401"/>
      <c r="E78" s="401"/>
      <c r="F78" s="402"/>
      <c r="G78" s="403"/>
      <c r="I78" s="415"/>
      <c r="J78" s="415"/>
      <c r="K78" s="415"/>
      <c r="L78" s="415"/>
      <c r="M78" s="415"/>
    </row>
    <row r="79" customFormat="false" ht="15" hidden="false" customHeight="false" outlineLevel="0" collapsed="false">
      <c r="A79" s="405" t="s">
        <v>7</v>
      </c>
      <c r="B79" s="414" t="n">
        <f aca="false">SUM(B74:B78)</f>
        <v>0</v>
      </c>
      <c r="C79" s="407" t="e">
        <f aca="false">SUM(C74:C78)</f>
        <v>#REF!</v>
      </c>
      <c r="D79" s="407" t="e">
        <f aca="false">SUM(D74:D78)</f>
        <v>#REF!</v>
      </c>
      <c r="E79" s="407" t="e">
        <f aca="false">SUM(E74:E78)</f>
        <v>#REF!</v>
      </c>
      <c r="F79" s="407" t="e">
        <f aca="false">SUM(F74:F78)</f>
        <v>#REF!</v>
      </c>
      <c r="G79" s="408" t="e">
        <f aca="false">SUM(G74:G78)</f>
        <v>#REF!</v>
      </c>
      <c r="I79" s="415"/>
      <c r="J79" s="415"/>
      <c r="K79" s="415"/>
      <c r="L79" s="415"/>
      <c r="M79" s="415"/>
    </row>
    <row r="80" customFormat="false" ht="15" hidden="false" customHeight="false" outlineLevel="0" collapsed="false">
      <c r="A80" s="396" t="s">
        <v>859</v>
      </c>
      <c r="B80" s="397"/>
      <c r="C80" s="397" t="s">
        <v>610</v>
      </c>
      <c r="D80" s="397" t="s">
        <v>610</v>
      </c>
      <c r="E80" s="397" t="s">
        <v>610</v>
      </c>
      <c r="F80" s="397" t="s">
        <v>610</v>
      </c>
      <c r="G80" s="398" t="s">
        <v>610</v>
      </c>
      <c r="I80" s="416"/>
      <c r="J80" s="416"/>
      <c r="K80" s="416"/>
      <c r="L80" s="416"/>
      <c r="M80" s="416"/>
    </row>
    <row r="81" customFormat="false" ht="15" hidden="false" customHeight="false" outlineLevel="0" collapsed="false">
      <c r="A81" s="399" t="s">
        <v>860</v>
      </c>
      <c r="B81" s="413" t="n">
        <v>0.5</v>
      </c>
      <c r="C81" s="446"/>
      <c r="D81" s="446"/>
      <c r="E81" s="446"/>
      <c r="F81" s="446" t="e">
        <f aca="false">ROUND(F$12/220*15*0.5*(1+$B81),2)</f>
        <v>#REF!</v>
      </c>
      <c r="G81" s="446" t="e">
        <f aca="false">ROUND(G$12/220*15*0.5*(1+$B81),2)</f>
        <v>#REF!</v>
      </c>
      <c r="I81" s="423"/>
      <c r="J81" s="416"/>
      <c r="K81" s="416"/>
      <c r="L81" s="416"/>
      <c r="M81" s="416"/>
    </row>
    <row r="82" customFormat="false" ht="15" hidden="false" customHeight="false" outlineLevel="0" collapsed="false">
      <c r="A82" s="405"/>
      <c r="B82" s="414"/>
      <c r="C82" s="447"/>
      <c r="D82" s="447"/>
      <c r="E82" s="447"/>
      <c r="F82" s="448"/>
      <c r="G82" s="449"/>
      <c r="I82" s="416"/>
      <c r="J82" s="416"/>
      <c r="K82" s="416"/>
      <c r="L82" s="416"/>
      <c r="M82" s="416"/>
    </row>
    <row r="83" customFormat="false" ht="15" hidden="false" customHeight="false" outlineLevel="0" collapsed="false">
      <c r="A83" s="396" t="s">
        <v>661</v>
      </c>
      <c r="B83" s="397" t="s">
        <v>609</v>
      </c>
      <c r="C83" s="397" t="s">
        <v>610</v>
      </c>
      <c r="D83" s="397" t="s">
        <v>610</v>
      </c>
      <c r="E83" s="397" t="s">
        <v>610</v>
      </c>
      <c r="F83" s="417"/>
      <c r="G83" s="398" t="s">
        <v>610</v>
      </c>
      <c r="I83" s="416"/>
      <c r="J83" s="416"/>
      <c r="K83" s="416"/>
      <c r="L83" s="416"/>
      <c r="M83" s="416"/>
    </row>
    <row r="84" customFormat="false" ht="15" hidden="false" customHeight="false" outlineLevel="0" collapsed="false">
      <c r="A84" s="399" t="s">
        <v>861</v>
      </c>
      <c r="B84" s="413" t="n">
        <f aca="false">B79</f>
        <v>0</v>
      </c>
      <c r="C84" s="401" t="e">
        <f aca="false">C79</f>
        <v>#REF!</v>
      </c>
      <c r="D84" s="401" t="e">
        <f aca="false">D79</f>
        <v>#REF!</v>
      </c>
      <c r="E84" s="401" t="e">
        <f aca="false">E79</f>
        <v>#REF!</v>
      </c>
      <c r="F84" s="401" t="e">
        <f aca="false">F79</f>
        <v>#REF!</v>
      </c>
      <c r="G84" s="403" t="e">
        <f aca="false">G79</f>
        <v>#REF!</v>
      </c>
      <c r="I84" s="416"/>
      <c r="J84" s="416"/>
      <c r="K84" s="416"/>
      <c r="L84" s="416"/>
      <c r="M84" s="416"/>
    </row>
    <row r="85" customFormat="false" ht="15" hidden="false" customHeight="false" outlineLevel="0" collapsed="false">
      <c r="A85" s="399" t="s">
        <v>862</v>
      </c>
      <c r="B85" s="413" t="n">
        <f aca="false">B81</f>
        <v>0.5</v>
      </c>
      <c r="C85" s="401" t="n">
        <f aca="false">C81</f>
        <v>0</v>
      </c>
      <c r="D85" s="401" t="n">
        <f aca="false">D81</f>
        <v>0</v>
      </c>
      <c r="E85" s="401" t="n">
        <f aca="false">E81</f>
        <v>0</v>
      </c>
      <c r="F85" s="401" t="e">
        <f aca="false">F81</f>
        <v>#REF!</v>
      </c>
      <c r="G85" s="403" t="e">
        <f aca="false">G81</f>
        <v>#REF!</v>
      </c>
      <c r="I85" s="416"/>
      <c r="J85" s="416"/>
      <c r="K85" s="416"/>
      <c r="L85" s="416"/>
      <c r="M85" s="416"/>
    </row>
    <row r="86" customFormat="false" ht="15" hidden="false" customHeight="false" outlineLevel="0" collapsed="false">
      <c r="A86" s="405" t="s">
        <v>7</v>
      </c>
      <c r="B86" s="414" t="n">
        <f aca="false">SUM(B84:B85)</f>
        <v>0.5</v>
      </c>
      <c r="C86" s="407" t="e">
        <f aca="false">SUM(C84:C85)</f>
        <v>#REF!</v>
      </c>
      <c r="D86" s="407" t="e">
        <f aca="false">SUM(D84:D85)</f>
        <v>#REF!</v>
      </c>
      <c r="E86" s="407" t="e">
        <f aca="false">SUM(E84:E85)</f>
        <v>#REF!</v>
      </c>
      <c r="F86" s="407" t="e">
        <f aca="false">SUM(F84:F85)</f>
        <v>#REF!</v>
      </c>
      <c r="G86" s="408" t="e">
        <f aca="false">SUM(G84:G85)</f>
        <v>#REF!</v>
      </c>
      <c r="I86" s="416"/>
      <c r="J86" s="416"/>
      <c r="K86" s="416"/>
      <c r="L86" s="416"/>
      <c r="M86" s="416"/>
    </row>
    <row r="87" customFormat="false" ht="4.5" hidden="false" customHeight="true" outlineLevel="0" collapsed="false">
      <c r="A87" s="399"/>
      <c r="B87" s="409"/>
      <c r="C87" s="409"/>
      <c r="D87" s="409"/>
      <c r="E87" s="409"/>
      <c r="F87" s="410"/>
      <c r="G87" s="411"/>
      <c r="I87" s="416"/>
      <c r="J87" s="416"/>
      <c r="K87" s="416"/>
      <c r="L87" s="416"/>
      <c r="M87" s="416"/>
    </row>
    <row r="88" customFormat="false" ht="15" hidden="false" customHeight="false" outlineLevel="0" collapsed="false">
      <c r="A88" s="412" t="s">
        <v>662</v>
      </c>
      <c r="B88" s="412"/>
      <c r="C88" s="412"/>
      <c r="D88" s="412"/>
      <c r="E88" s="412"/>
      <c r="F88" s="412"/>
      <c r="G88" s="412"/>
      <c r="I88" s="416"/>
      <c r="J88" s="416"/>
      <c r="K88" s="416"/>
      <c r="L88" s="416"/>
      <c r="M88" s="416"/>
    </row>
    <row r="89" customFormat="false" ht="15" hidden="false" customHeight="false" outlineLevel="0" collapsed="false">
      <c r="A89" s="396" t="s">
        <v>663</v>
      </c>
      <c r="B89" s="397" t="s">
        <v>19</v>
      </c>
      <c r="C89" s="397" t="s">
        <v>610</v>
      </c>
      <c r="D89" s="397" t="s">
        <v>610</v>
      </c>
      <c r="E89" s="397" t="s">
        <v>610</v>
      </c>
      <c r="F89" s="397" t="s">
        <v>610</v>
      </c>
      <c r="G89" s="398" t="s">
        <v>610</v>
      </c>
      <c r="I89" s="416"/>
      <c r="J89" s="416"/>
      <c r="K89" s="416"/>
      <c r="L89" s="416"/>
      <c r="M89" s="416"/>
    </row>
    <row r="90" customFormat="false" ht="15" hidden="false" customHeight="false" outlineLevel="0" collapsed="false">
      <c r="A90" s="450" t="s">
        <v>664</v>
      </c>
      <c r="B90" s="430" t="n">
        <f aca="false">Insumos!F12</f>
        <v>86.8083333333333</v>
      </c>
      <c r="C90" s="430" t="n">
        <f aca="false">B90</f>
        <v>86.8083333333333</v>
      </c>
      <c r="D90" s="430" t="n">
        <f aca="false">B90</f>
        <v>86.8083333333333</v>
      </c>
      <c r="E90" s="430" t="n">
        <f aca="false">B90</f>
        <v>86.8083333333333</v>
      </c>
      <c r="F90" s="451" t="n">
        <f aca="false">B90*2</f>
        <v>173.616666666667</v>
      </c>
      <c r="G90" s="431" t="n">
        <f aca="false">B90*2</f>
        <v>173.616666666667</v>
      </c>
      <c r="I90" s="416"/>
      <c r="J90" s="416"/>
      <c r="K90" s="416"/>
      <c r="L90" s="416"/>
      <c r="M90" s="416"/>
    </row>
    <row r="91" customFormat="false" ht="15" hidden="false" customHeight="false" outlineLevel="0" collapsed="false">
      <c r="A91" s="450" t="s">
        <v>863</v>
      </c>
      <c r="B91" s="430" t="e">
        <f aca="false">insumos!#ref!</f>
        <v>#NAME?</v>
      </c>
      <c r="C91" s="430" t="e">
        <f aca="false">B91</f>
        <v>#NAME?</v>
      </c>
      <c r="D91" s="430" t="e">
        <f aca="false">B91</f>
        <v>#NAME?</v>
      </c>
      <c r="E91" s="430" t="e">
        <f aca="false">B91</f>
        <v>#NAME?</v>
      </c>
      <c r="F91" s="451" t="e">
        <f aca="false">B91*2</f>
        <v>#NAME?</v>
      </c>
      <c r="G91" s="431" t="e">
        <f aca="false">B91*2</f>
        <v>#NAME?</v>
      </c>
      <c r="I91" s="416"/>
      <c r="J91" s="416"/>
      <c r="K91" s="416"/>
      <c r="L91" s="416"/>
      <c r="M91" s="416"/>
    </row>
    <row r="92" customFormat="false" ht="15" hidden="false" customHeight="false" outlineLevel="0" collapsed="false">
      <c r="A92" s="450" t="s">
        <v>864</v>
      </c>
      <c r="B92" s="430"/>
      <c r="C92" s="430" t="e">
        <f aca="false">insumos!#ref!</f>
        <v>#NAME?</v>
      </c>
      <c r="D92" s="430" t="e">
        <f aca="false">insumos!#ref!</f>
        <v>#NAME?</v>
      </c>
      <c r="E92" s="430" t="e">
        <f aca="false">insumos!#ref!</f>
        <v>#NAME?</v>
      </c>
      <c r="F92" s="451" t="e">
        <f aca="false">insumos!#ref!</f>
        <v>#NAME?</v>
      </c>
      <c r="G92" s="431" t="e">
        <f aca="false">insumos!#ref!</f>
        <v>#NAME?</v>
      </c>
      <c r="I92" s="416"/>
      <c r="J92" s="416"/>
      <c r="K92" s="416"/>
      <c r="L92" s="416"/>
      <c r="M92" s="416"/>
    </row>
    <row r="93" customFormat="false" ht="15" hidden="false" customHeight="false" outlineLevel="0" collapsed="false">
      <c r="A93" s="450" t="s">
        <v>841</v>
      </c>
      <c r="B93" s="430"/>
      <c r="C93" s="446"/>
      <c r="D93" s="446"/>
      <c r="E93" s="446"/>
      <c r="F93" s="452"/>
      <c r="G93" s="453"/>
      <c r="I93" s="416"/>
      <c r="J93" s="416"/>
      <c r="K93" s="416"/>
      <c r="L93" s="416"/>
      <c r="M93" s="416"/>
    </row>
    <row r="94" customFormat="false" ht="15" hidden="false" customHeight="false" outlineLevel="0" collapsed="false">
      <c r="A94" s="405" t="s">
        <v>7</v>
      </c>
      <c r="B94" s="433" t="e">
        <f aca="false">SUM(B90:B93)</f>
        <v>#NAME?</v>
      </c>
      <c r="C94" s="433" t="e">
        <f aca="false">SUM(C90:C93)</f>
        <v>#NAME?</v>
      </c>
      <c r="D94" s="433" t="e">
        <f aca="false">SUM(D90:D93)</f>
        <v>#NAME?</v>
      </c>
      <c r="E94" s="433" t="e">
        <f aca="false">SUM(E90:E93)</f>
        <v>#NAME?</v>
      </c>
      <c r="F94" s="433" t="e">
        <f aca="false">SUM(F90:F93)</f>
        <v>#NAME?</v>
      </c>
      <c r="G94" s="434" t="e">
        <f aca="false">SUM(G90:G93)</f>
        <v>#NAME?</v>
      </c>
      <c r="I94" s="416"/>
      <c r="J94" s="416"/>
      <c r="K94" s="416"/>
      <c r="L94" s="416"/>
      <c r="M94" s="416"/>
    </row>
    <row r="95" customFormat="false" ht="3.75" hidden="false" customHeight="true" outlineLevel="0" collapsed="false">
      <c r="A95" s="399"/>
      <c r="B95" s="409"/>
      <c r="C95" s="409"/>
      <c r="D95" s="409"/>
      <c r="E95" s="409"/>
      <c r="F95" s="410"/>
      <c r="G95" s="411"/>
      <c r="I95" s="416"/>
      <c r="J95" s="416"/>
      <c r="K95" s="416"/>
      <c r="L95" s="416"/>
      <c r="M95" s="416"/>
    </row>
    <row r="96" customFormat="false" ht="15" hidden="false" customHeight="false" outlineLevel="0" collapsed="false">
      <c r="A96" s="412" t="s">
        <v>671</v>
      </c>
      <c r="B96" s="412"/>
      <c r="C96" s="412"/>
      <c r="D96" s="412"/>
      <c r="E96" s="412"/>
      <c r="F96" s="412"/>
      <c r="G96" s="412"/>
      <c r="I96" s="416"/>
      <c r="J96" s="416"/>
      <c r="K96" s="416"/>
      <c r="L96" s="416"/>
      <c r="M96" s="416"/>
    </row>
    <row r="97" customFormat="false" ht="15" hidden="false" customHeight="false" outlineLevel="0" collapsed="false">
      <c r="A97" s="396" t="s">
        <v>672</v>
      </c>
      <c r="B97" s="397" t="s">
        <v>609</v>
      </c>
      <c r="C97" s="397" t="s">
        <v>610</v>
      </c>
      <c r="D97" s="397" t="s">
        <v>610</v>
      </c>
      <c r="E97" s="397" t="s">
        <v>610</v>
      </c>
      <c r="F97" s="397" t="s">
        <v>610</v>
      </c>
      <c r="G97" s="398" t="s">
        <v>610</v>
      </c>
      <c r="I97" s="416"/>
      <c r="J97" s="416"/>
      <c r="K97" s="416"/>
      <c r="L97" s="416"/>
      <c r="M97" s="416"/>
    </row>
    <row r="98" customFormat="false" ht="15" hidden="false" customHeight="false" outlineLevel="0" collapsed="false">
      <c r="A98" s="396"/>
      <c r="B98" s="397"/>
      <c r="C98" s="413" t="n">
        <f aca="false">'RS2-a'!C98</f>
        <v>0.02</v>
      </c>
      <c r="D98" s="413" t="n">
        <f aca="false">'RS2-a'!D98</f>
        <v>0.0001</v>
      </c>
      <c r="E98" s="413" t="n">
        <f aca="false">'RS2-a'!E98</f>
        <v>0.0001</v>
      </c>
      <c r="F98" s="413" t="n">
        <f aca="false">'RS2-a'!F98</f>
        <v>0.0001</v>
      </c>
      <c r="G98" s="413" t="n">
        <f aca="false">'RS2-a'!G98</f>
        <v>0.0303062467733608</v>
      </c>
      <c r="I98" s="416"/>
      <c r="J98" s="416"/>
      <c r="K98" s="416"/>
      <c r="L98" s="416"/>
      <c r="M98" s="416"/>
    </row>
    <row r="99" customFormat="false" ht="15" hidden="false" customHeight="false" outlineLevel="0" collapsed="false">
      <c r="A99" s="396"/>
      <c r="B99" s="397"/>
      <c r="C99" s="413" t="n">
        <f aca="false">'RS2-a'!C99</f>
        <v>0.050437</v>
      </c>
      <c r="D99" s="413" t="n">
        <f aca="false">'RS2-a'!D99</f>
        <v>0.015754</v>
      </c>
      <c r="E99" s="413" t="n">
        <f aca="false">'RS2-a'!E99</f>
        <v>0.052716776771696</v>
      </c>
      <c r="F99" s="413" t="n">
        <f aca="false">'RS2-a'!F99</f>
        <v>0.00445783276330103</v>
      </c>
      <c r="G99" s="413" t="n">
        <f aca="false">'RS2-a'!G99</f>
        <v>0.0388778264259504</v>
      </c>
      <c r="I99" s="416"/>
      <c r="J99" s="416"/>
      <c r="K99" s="416"/>
      <c r="L99" s="416"/>
      <c r="M99" s="416"/>
    </row>
    <row r="100" customFormat="false" ht="15" hidden="false" customHeight="false" outlineLevel="0" collapsed="false">
      <c r="A100" s="396" t="s">
        <v>673</v>
      </c>
      <c r="B100" s="413"/>
      <c r="C100" s="447" t="e">
        <f aca="false">ROUND((C$19+C$50+C$70+C$86+C$94)*C98,2)</f>
        <v>#REF!</v>
      </c>
      <c r="D100" s="447" t="e">
        <f aca="false">ROUND((D$19+D$50+D$70+D$86+D$94)*D98,2)</f>
        <v>#REF!</v>
      </c>
      <c r="E100" s="447" t="e">
        <f aca="false">ROUND((E$19+E$50+E$70+E$86+E$94)*E98,2)</f>
        <v>#REF!</v>
      </c>
      <c r="F100" s="447" t="e">
        <f aca="false">ROUND((F$19+F$50+F$70+F$86+F$94)*F98,2)</f>
        <v>#REF!</v>
      </c>
      <c r="G100" s="447" t="e">
        <f aca="false">ROUND((G$19+G$50+G$70+G$86+G$94)*G98,2)</f>
        <v>#REF!</v>
      </c>
      <c r="I100" s="416"/>
      <c r="J100" s="416"/>
      <c r="K100" s="416"/>
      <c r="L100" s="416"/>
      <c r="M100" s="416"/>
    </row>
    <row r="101" customFormat="false" ht="15" hidden="false" customHeight="false" outlineLevel="0" collapsed="false">
      <c r="A101" s="396" t="s">
        <v>674</v>
      </c>
      <c r="B101" s="413"/>
      <c r="C101" s="433" t="e">
        <f aca="false">ROUND((C$19+C$50+C$70+C$86+C$94+C$100)*C99,2)</f>
        <v>#REF!</v>
      </c>
      <c r="D101" s="433" t="e">
        <f aca="false">ROUND((D$19+D$50+D$70+D$86+D$94+D$100)*D99,2)</f>
        <v>#REF!</v>
      </c>
      <c r="E101" s="433" t="e">
        <f aca="false">ROUND((E$19+E$50+E$70+E$86+E$94+E$100)*E99,2)</f>
        <v>#REF!</v>
      </c>
      <c r="F101" s="433" t="e">
        <f aca="false">ROUND((F$19+F$50+F$70+F$86+F$94+F$100)*F99,2)</f>
        <v>#REF!</v>
      </c>
      <c r="G101" s="433" t="e">
        <f aca="false">ROUND((G$19+G$50+G$70+G$86+G$94+G$100)*G99,2)</f>
        <v>#REF!</v>
      </c>
      <c r="I101" s="416"/>
      <c r="J101" s="416"/>
      <c r="K101" s="416"/>
      <c r="L101" s="416"/>
      <c r="M101" s="416"/>
    </row>
    <row r="102" customFormat="false" ht="15" hidden="false" customHeight="false" outlineLevel="0" collapsed="false">
      <c r="A102" s="396" t="s">
        <v>865</v>
      </c>
      <c r="B102" s="414" t="n">
        <f aca="false">B103+B104</f>
        <v>0.0565</v>
      </c>
      <c r="C102" s="406" t="e">
        <f aca="false">SUM(C103:C104)</f>
        <v>#REF!</v>
      </c>
      <c r="D102" s="406" t="e">
        <f aca="false">SUM(D103:D104)</f>
        <v>#REF!</v>
      </c>
      <c r="E102" s="406" t="e">
        <f aca="false">SUM(E103:E104)</f>
        <v>#REF!</v>
      </c>
      <c r="F102" s="406" t="e">
        <f aca="false">SUM(F103:F104)</f>
        <v>#REF!</v>
      </c>
      <c r="G102" s="455" t="e">
        <f aca="false">SUM(G103:G104)</f>
        <v>#REF!</v>
      </c>
      <c r="I102" s="416"/>
      <c r="J102" s="416"/>
      <c r="K102" s="416"/>
      <c r="L102" s="416"/>
      <c r="M102" s="416"/>
    </row>
    <row r="103" customFormat="false" ht="15" hidden="false" customHeight="false" outlineLevel="0" collapsed="false">
      <c r="A103" s="399" t="s">
        <v>676</v>
      </c>
      <c r="B103" s="413" t="n">
        <v>0.0365</v>
      </c>
      <c r="C103" s="430" t="e">
        <f aca="false">ROUND((($C$19+$C$50+$C$70+$C$86+$C$94+$C$101+$C$100)/(1-($B$102)))*$B$103,2)</f>
        <v>#REF!</v>
      </c>
      <c r="D103" s="430" t="e">
        <f aca="false">ROUND((($D$19+$D$50+$D$70+$D$86+$D$94+$D$101+$D$100)/(1-($B$102)))*$B103,2)</f>
        <v>#REF!</v>
      </c>
      <c r="E103" s="430" t="e">
        <f aca="false">ROUND((($E$19+$E$50+$E$70+$E$86+$E$94+$E$101+$E$100)/(1-($B$102)))*$B103,2)</f>
        <v>#REF!</v>
      </c>
      <c r="F103" s="430" t="e">
        <f aca="false">ROUND(((F$19+F$50+F$70+F$86+F$94+F$101+F$100)/(1-($B$102)))*B103,2)</f>
        <v>#REF!</v>
      </c>
      <c r="G103" s="431" t="e">
        <f aca="false">ROUND(((G$19+G$50+G$70+G$86+G$94+G$101+G$100)/(1-($B$102)))*$B103,2)</f>
        <v>#REF!</v>
      </c>
      <c r="I103" s="416"/>
      <c r="J103" s="416"/>
      <c r="K103" s="416"/>
      <c r="L103" s="416"/>
      <c r="M103" s="416"/>
    </row>
    <row r="104" customFormat="false" ht="15" hidden="false" customHeight="false" outlineLevel="0" collapsed="false">
      <c r="A104" s="399" t="s">
        <v>677</v>
      </c>
      <c r="B104" s="413" t="n">
        <v>0.02</v>
      </c>
      <c r="C104" s="446" t="e">
        <f aca="false">ROUND((($C$19+$C$50+$C$70+$C$86+$C$94+$C$100+$C$101)/(1-($B$102)))*$B$104,2)</f>
        <v>#REF!</v>
      </c>
      <c r="D104" s="446" t="e">
        <f aca="false">ROUND((($D$19+$D$50+$D$70+$D$86+$D$94+$D$100+$D$101)/(1-($B$102)))*$B104,2)</f>
        <v>#REF!</v>
      </c>
      <c r="E104" s="446" t="e">
        <f aca="false">ROUND((($E$19+$E$50+$E$70+$E$86+$E$94+$E$100+$E$101)/(1-($B$102)))*$B104,2)</f>
        <v>#REF!</v>
      </c>
      <c r="F104" s="446" t="e">
        <f aca="false">ROUND((($F$19+$F$50+$F$70+$F$86+$F$94+$F$100+$F$101)/(1-($B$102)))*B104,2)</f>
        <v>#REF!</v>
      </c>
      <c r="G104" s="453" t="e">
        <f aca="false">ROUND((($G$19+$G$50+$G$70+$G$86+$G$94+$G$100+$G$101)/(1-($B$102)))*$B104,2)</f>
        <v>#REF!</v>
      </c>
      <c r="I104" s="416"/>
      <c r="J104" s="416"/>
      <c r="K104" s="416"/>
      <c r="L104" s="416"/>
      <c r="M104" s="416"/>
    </row>
    <row r="105" customFormat="false" ht="15" hidden="false" customHeight="false" outlineLevel="0" collapsed="false">
      <c r="A105" s="396" t="s">
        <v>866</v>
      </c>
      <c r="B105" s="414" t="n">
        <f aca="false">B106+B107</f>
        <v>0.0615</v>
      </c>
      <c r="C105" s="397" t="e">
        <f aca="false">SUM(C106:C107)</f>
        <v>#REF!</v>
      </c>
      <c r="D105" s="397" t="e">
        <f aca="false">SUM(D106:D107)</f>
        <v>#REF!</v>
      </c>
      <c r="E105" s="397" t="e">
        <f aca="false">SUM(E106:E107)</f>
        <v>#REF!</v>
      </c>
      <c r="F105" s="397" t="e">
        <f aca="false">SUM(F106:F107)</f>
        <v>#REF!</v>
      </c>
      <c r="G105" s="398" t="e">
        <f aca="false">SUM(G106:G107)</f>
        <v>#REF!</v>
      </c>
      <c r="I105" s="416"/>
      <c r="J105" s="416"/>
      <c r="K105" s="416"/>
      <c r="L105" s="416"/>
      <c r="M105" s="416"/>
    </row>
    <row r="106" customFormat="false" ht="15" hidden="false" customHeight="false" outlineLevel="0" collapsed="false">
      <c r="A106" s="399" t="s">
        <v>676</v>
      </c>
      <c r="B106" s="413" t="n">
        <v>0.0365</v>
      </c>
      <c r="C106" s="446" t="e">
        <f aca="false">ROUND((($C$19+$C$50+$C$70+$C$86+$C$94+$C$101+$C$100)/(1-($B$105)))*$B$106,2)</f>
        <v>#REF!</v>
      </c>
      <c r="D106" s="446" t="e">
        <f aca="false">ROUND((($D$19+$D$50+$D$70+$D$86+$D$94+$D$101+$D$100)/(1-($B$105)))*$B106,2)</f>
        <v>#REF!</v>
      </c>
      <c r="E106" s="446" t="e">
        <f aca="false">ROUND((($E$19+$E$50+$E$70+$E$86+$E$94+$E$101+$E$100)/(1-($B$105)))*$B106,2)</f>
        <v>#REF!</v>
      </c>
      <c r="F106" s="446" t="e">
        <f aca="false">ROUND(((F$19+F$50+F$70+F$86+F$94+F$101+F$100)/(1-($B$105)))*B106,2)</f>
        <v>#REF!</v>
      </c>
      <c r="G106" s="453" t="e">
        <f aca="false">ROUND(((G$19+G$50+G$70+G$86+G$94+G$101+G$100)/(1-($B$105)))*$B106,2)</f>
        <v>#REF!</v>
      </c>
      <c r="I106" s="416"/>
      <c r="J106" s="416"/>
      <c r="K106" s="416"/>
      <c r="L106" s="416"/>
      <c r="M106" s="416"/>
    </row>
    <row r="107" customFormat="false" ht="15" hidden="false" customHeight="false" outlineLevel="0" collapsed="false">
      <c r="A107" s="399" t="s">
        <v>677</v>
      </c>
      <c r="B107" s="413" t="n">
        <v>0.025</v>
      </c>
      <c r="C107" s="446" t="e">
        <f aca="false">ROUND((($C$19+$C$50+$C$70+$C$86+$C$94+$C$100+$C$101)/(1-($B$105)))*$B$107,2)</f>
        <v>#REF!</v>
      </c>
      <c r="D107" s="446" t="e">
        <f aca="false">ROUND((($D$19+$D$50+$D$70+$D$86+$D$94+$D$100+$D$101)/(1-($B$105)))*$B107,2)</f>
        <v>#REF!</v>
      </c>
      <c r="E107" s="446" t="e">
        <f aca="false">ROUND((($E$19+$E$50+$E$70+$E$86+$E$94+$E$100+$E$101)/(1-($B$105)))*$B107,2)</f>
        <v>#REF!</v>
      </c>
      <c r="F107" s="446" t="e">
        <f aca="false">ROUND((($F$19+$F$50+$F$70+$F$86+$F$94+$F$100+$F$101)/(1-($B$105)))*B107,2)</f>
        <v>#REF!</v>
      </c>
      <c r="G107" s="453" t="e">
        <f aca="false">ROUND((($G$19+$G$50+$G$70+$G$86+$G$94+$G$100+$G$101)/(1-($B$105)))*$B107,2)</f>
        <v>#REF!</v>
      </c>
      <c r="I107" s="416"/>
      <c r="J107" s="416"/>
      <c r="K107" s="416"/>
      <c r="L107" s="416"/>
      <c r="M107" s="416"/>
    </row>
    <row r="108" customFormat="false" ht="15" hidden="false" customHeight="false" outlineLevel="0" collapsed="false">
      <c r="A108" s="396" t="s">
        <v>867</v>
      </c>
      <c r="B108" s="414" t="n">
        <f aca="false">B109+B110</f>
        <v>0.0665</v>
      </c>
      <c r="C108" s="397" t="e">
        <f aca="false">SUM(C109:C110)</f>
        <v>#REF!</v>
      </c>
      <c r="D108" s="397" t="e">
        <f aca="false">SUM(D109:D110)</f>
        <v>#REF!</v>
      </c>
      <c r="E108" s="397" t="e">
        <f aca="false">SUM(E109:E110)</f>
        <v>#REF!</v>
      </c>
      <c r="F108" s="397" t="e">
        <f aca="false">SUM(F109:F110)</f>
        <v>#REF!</v>
      </c>
      <c r="G108" s="398" t="e">
        <f aca="false">SUM(G109:G110)</f>
        <v>#REF!</v>
      </c>
      <c r="I108" s="416"/>
      <c r="J108" s="416"/>
      <c r="K108" s="416"/>
      <c r="L108" s="416"/>
      <c r="M108" s="416"/>
    </row>
    <row r="109" customFormat="false" ht="15" hidden="false" customHeight="false" outlineLevel="0" collapsed="false">
      <c r="A109" s="399" t="s">
        <v>676</v>
      </c>
      <c r="B109" s="413" t="n">
        <v>0.0365</v>
      </c>
      <c r="C109" s="446" t="e">
        <f aca="false">ROUND((($C$19+$C$50+$C$70+$C$86+$C$94+$C$101+$C$100)/(1-($B$108)))*$B$109,2)</f>
        <v>#REF!</v>
      </c>
      <c r="D109" s="446" t="e">
        <f aca="false">ROUND((($D$19+$D$50+$D$70+$D$86+$D$94+$D$101+$D$100)/(1-($B$108)))*$B109,2)</f>
        <v>#REF!</v>
      </c>
      <c r="E109" s="446" t="e">
        <f aca="false">ROUND((($E$19+$E$50+$E$70+$E$86+$E$94+$E$101+$E$100)/(1-($B$108)))*$B109,2)</f>
        <v>#REF!</v>
      </c>
      <c r="F109" s="446" t="e">
        <f aca="false">ROUND(((F$19+F$50+F$70+F$86+F$94+F$101+F$100)/(1-($B$108)))*B109,2)</f>
        <v>#REF!</v>
      </c>
      <c r="G109" s="453" t="e">
        <f aca="false">ROUND(((G$19+G$50+G$70+G$86+G$94+G$101+G$100)/(1-($B$108)))*$B109,2)</f>
        <v>#REF!</v>
      </c>
      <c r="I109" s="416"/>
      <c r="J109" s="416"/>
      <c r="K109" s="416"/>
      <c r="L109" s="416"/>
      <c r="M109" s="416"/>
    </row>
    <row r="110" customFormat="false" ht="15" hidden="false" customHeight="false" outlineLevel="0" collapsed="false">
      <c r="A110" s="399" t="s">
        <v>677</v>
      </c>
      <c r="B110" s="413" t="n">
        <v>0.03</v>
      </c>
      <c r="C110" s="446" t="e">
        <f aca="false">ROUND((($C$19+$C$50+$C$70+$C$86+$C$94+$C$100+$C$101)/(1-($B$108)))*B110,2)</f>
        <v>#REF!</v>
      </c>
      <c r="D110" s="446" t="e">
        <f aca="false">ROUND((($D$19+$D$50+$D$70+$D$86+$D$94+$D$100+$D$101)/(1-($B$108)))*$B110,2)</f>
        <v>#REF!</v>
      </c>
      <c r="E110" s="446" t="e">
        <f aca="false">ROUND((($E$19+$E$50+$E$70+$E$86+$E$94+$E$100+$E$101)/(1-($B$108)))*$B110,2)</f>
        <v>#REF!</v>
      </c>
      <c r="F110" s="452" t="e">
        <f aca="false">ROUND((($F$19+$F$50+$F$70+$F$86+$F$94+$F$100+$F$101)/(1-($B$108)))*B110,2)</f>
        <v>#REF!</v>
      </c>
      <c r="G110" s="453" t="e">
        <f aca="false">ROUND((($G$19+$G$50+$G$70+$G$86+$G$94+$G$100+$G$101)/(1-($B$108)))*$B110,2)</f>
        <v>#REF!</v>
      </c>
      <c r="I110" s="416"/>
      <c r="J110" s="416"/>
      <c r="K110" s="416"/>
      <c r="L110" s="416"/>
      <c r="M110" s="416"/>
    </row>
    <row r="111" customFormat="false" ht="15" hidden="false" customHeight="false" outlineLevel="0" collapsed="false">
      <c r="A111" s="396" t="s">
        <v>868</v>
      </c>
      <c r="B111" s="414" t="n">
        <f aca="false">B112+B113</f>
        <v>0.0715</v>
      </c>
      <c r="C111" s="397" t="e">
        <f aca="false">SUM(C112:C113)</f>
        <v>#REF!</v>
      </c>
      <c r="D111" s="397" t="e">
        <f aca="false">SUM(D112:D113)</f>
        <v>#REF!</v>
      </c>
      <c r="E111" s="397" t="e">
        <f aca="false">SUM(E112:E113)</f>
        <v>#REF!</v>
      </c>
      <c r="F111" s="397" t="e">
        <f aca="false">SUM(F112:F113)</f>
        <v>#REF!</v>
      </c>
      <c r="G111" s="398" t="e">
        <f aca="false">SUM(G112:G113)</f>
        <v>#REF!</v>
      </c>
      <c r="I111" s="416"/>
      <c r="J111" s="416"/>
      <c r="K111" s="416"/>
      <c r="L111" s="416"/>
      <c r="M111" s="416"/>
    </row>
    <row r="112" customFormat="false" ht="15" hidden="false" customHeight="false" outlineLevel="0" collapsed="false">
      <c r="A112" s="399" t="s">
        <v>676</v>
      </c>
      <c r="B112" s="413" t="n">
        <v>0.0365</v>
      </c>
      <c r="C112" s="446" t="e">
        <f aca="false">ROUND((($C$19+$C$50+$C$70+$C$86+$C$94+$C$101+$C$100)/(1-($B$111)))*B112,2)</f>
        <v>#REF!</v>
      </c>
      <c r="D112" s="446" t="e">
        <f aca="false">ROUND((($D$19+$D$50+$D$70+$D$86+$D$94+$D$101+$D$100)/(1-($B$111)))*$B112,2)</f>
        <v>#REF!</v>
      </c>
      <c r="E112" s="446" t="e">
        <f aca="false">ROUND((($E$19+$E$50+$E$70+$E$86+$E$94+$E$101+$E$100)/(1-($B$111)))*$B112,2)</f>
        <v>#REF!</v>
      </c>
      <c r="F112" s="452" t="e">
        <f aca="false">ROUND(((F$19+F$50+F$70+F$86+F$94+F$101+F$100)/(1-($B$111)))*B112,2)</f>
        <v>#REF!</v>
      </c>
      <c r="G112" s="431" t="e">
        <f aca="false">ROUND(((G$19+G$50+G$70+G$86+G$94+G$101+G$100)/(1-($B$111)))*$B112,2)</f>
        <v>#REF!</v>
      </c>
      <c r="I112" s="416"/>
      <c r="J112" s="416"/>
      <c r="K112" s="416"/>
      <c r="L112" s="416"/>
      <c r="M112" s="416"/>
    </row>
    <row r="113" customFormat="false" ht="15" hidden="false" customHeight="false" outlineLevel="0" collapsed="false">
      <c r="A113" s="399" t="s">
        <v>677</v>
      </c>
      <c r="B113" s="413" t="n">
        <v>0.035</v>
      </c>
      <c r="C113" s="446" t="e">
        <f aca="false">ROUND((($C$19+$C$50+$C$70+$C$86+$C$94+$C$100+$C$101)/(1-($B$111)))*B113,2)</f>
        <v>#REF!</v>
      </c>
      <c r="D113" s="446" t="e">
        <f aca="false">ROUND((($D$19+$D$50+$D$70+$D$86+$D$94+$D$100+$D$101)/(1-($B$111)))*$B113,2)</f>
        <v>#REF!</v>
      </c>
      <c r="E113" s="446" t="e">
        <f aca="false">ROUND((($E$19+$E$50+$E$70+$E$86+$E$94+$E$100+$E$101)/(1-($B$111)))*$B113,2)</f>
        <v>#REF!</v>
      </c>
      <c r="F113" s="451" t="e">
        <f aca="false">ROUND((($F$19+$F$50+$F$70+$F$86+$F$94+$F$100+$F$101)/(1-($B$111)))*B113,2)</f>
        <v>#REF!</v>
      </c>
      <c r="G113" s="453" t="e">
        <f aca="false">ROUND((($G$19+$G$50+$G$70+$G$86+$G$94+$G$100+$G$101)/(1-($B$111)))*$B113,2)</f>
        <v>#REF!</v>
      </c>
      <c r="I113" s="416"/>
      <c r="J113" s="416"/>
      <c r="K113" s="416"/>
      <c r="L113" s="416"/>
      <c r="M113" s="416"/>
    </row>
    <row r="114" customFormat="false" ht="15" hidden="false" customHeight="false" outlineLevel="0" collapsed="false">
      <c r="A114" s="396" t="s">
        <v>869</v>
      </c>
      <c r="B114" s="414" t="n">
        <f aca="false">B115+B116</f>
        <v>0.0765</v>
      </c>
      <c r="C114" s="397" t="e">
        <f aca="false">SUM(C115:C116)</f>
        <v>#REF!</v>
      </c>
      <c r="D114" s="397" t="e">
        <f aca="false">SUM(D115:D116)</f>
        <v>#REF!</v>
      </c>
      <c r="E114" s="397" t="e">
        <f aca="false">SUM(E115:E116)</f>
        <v>#REF!</v>
      </c>
      <c r="F114" s="397" t="e">
        <f aca="false">SUM(F115:F116)</f>
        <v>#REF!</v>
      </c>
      <c r="G114" s="398" t="e">
        <f aca="false">SUM(G115:G116)</f>
        <v>#REF!</v>
      </c>
      <c r="I114" s="416"/>
      <c r="J114" s="416"/>
      <c r="K114" s="416"/>
      <c r="L114" s="416"/>
      <c r="M114" s="416"/>
    </row>
    <row r="115" customFormat="false" ht="15" hidden="false" customHeight="false" outlineLevel="0" collapsed="false">
      <c r="A115" s="399" t="s">
        <v>676</v>
      </c>
      <c r="B115" s="413" t="n">
        <v>0.0365</v>
      </c>
      <c r="C115" s="446" t="e">
        <f aca="false">ROUND((($C$19+$C$50+$C$70+$C$86+$C$94+$C$101+$C$100)/(1-($B$114)))*B115,2)</f>
        <v>#REF!</v>
      </c>
      <c r="D115" s="446" t="e">
        <f aca="false">ROUND((($D$19+$D$50+$D$70+$D$86+$D$94+$D$101+$D$100)/(1-($B$114)))*$B115,2)</f>
        <v>#REF!</v>
      </c>
      <c r="E115" s="446" t="e">
        <f aca="false">ROUND((($E$19+$E$50+$E$70+$E$86+$E$94+$E$101+$E$100)/(1-($B$114)))*$B115,2)</f>
        <v>#REF!</v>
      </c>
      <c r="F115" s="452" t="e">
        <f aca="false">ROUND(((F$19+F$50+F$70+F$86+F$94+F$101+F$100)/(1-($B$114)))*B115,2)</f>
        <v>#REF!</v>
      </c>
      <c r="G115" s="453" t="e">
        <f aca="false">ROUND(((G$19+G$50+G$70+G$86+G$94+G$101+G$100)/(1-($B$114)))*$B115,2)</f>
        <v>#REF!</v>
      </c>
      <c r="I115" s="416"/>
      <c r="J115" s="416"/>
      <c r="K115" s="416"/>
      <c r="L115" s="416"/>
      <c r="M115" s="416"/>
    </row>
    <row r="116" customFormat="false" ht="15" hidden="false" customHeight="false" outlineLevel="0" collapsed="false">
      <c r="A116" s="399" t="s">
        <v>677</v>
      </c>
      <c r="B116" s="413" t="n">
        <v>0.04</v>
      </c>
      <c r="C116" s="446" t="e">
        <f aca="false">ROUND((($C$19+$C$50+$C$70+$C$86+$C$94+$C$100+$C$101)/(1-($B$114)))*B116,2)</f>
        <v>#REF!</v>
      </c>
      <c r="D116" s="446" t="e">
        <f aca="false">ROUND((($D$19+$D$50+$D$70+$D$86+$D$94+$D$100+$D$101)/(1-($B$114)))*$B116,2)</f>
        <v>#REF!</v>
      </c>
      <c r="E116" s="446" t="e">
        <f aca="false">ROUND((($E$19+$E$50+$E$70+$E$86+$E$94+$E$100+$E$101)/(1-($B$114)))*$B116,2)</f>
        <v>#REF!</v>
      </c>
      <c r="F116" s="452" t="e">
        <f aca="false">ROUND((($F$19+$F$50+$F$70+$F$86+$F$94+$F$100+$F$101)/(1-($B$114)))*B116,2)</f>
        <v>#REF!</v>
      </c>
      <c r="G116" s="453" t="e">
        <f aca="false">ROUND((($G$19+$G$50+$G$70+$G$86+$G$94+$G$100+$G$101)/(1-($B$114)))*$B116,2)</f>
        <v>#REF!</v>
      </c>
      <c r="I116" s="416"/>
      <c r="J116" s="416"/>
      <c r="K116" s="416"/>
      <c r="L116" s="416"/>
      <c r="M116" s="416"/>
    </row>
    <row r="117" customFormat="false" ht="15" hidden="false" customHeight="false" outlineLevel="0" collapsed="false">
      <c r="A117" s="396" t="s">
        <v>870</v>
      </c>
      <c r="B117" s="414" t="n">
        <f aca="false">B118+B119</f>
        <v>0.0865</v>
      </c>
      <c r="C117" s="397" t="e">
        <f aca="false">SUM(C118:C119)</f>
        <v>#REF!</v>
      </c>
      <c r="D117" s="397" t="e">
        <f aca="false">SUM(D118:D119)</f>
        <v>#REF!</v>
      </c>
      <c r="E117" s="397" t="e">
        <f aca="false">SUM(E118:E119)</f>
        <v>#REF!</v>
      </c>
      <c r="F117" s="397" t="e">
        <f aca="false">SUM(F118:F119)</f>
        <v>#REF!</v>
      </c>
      <c r="G117" s="398" t="e">
        <f aca="false">SUM(G118:G119)</f>
        <v>#REF!</v>
      </c>
      <c r="I117" s="416"/>
      <c r="J117" s="416"/>
      <c r="K117" s="416"/>
      <c r="L117" s="416"/>
      <c r="M117" s="416"/>
    </row>
    <row r="118" customFormat="false" ht="15" hidden="false" customHeight="false" outlineLevel="0" collapsed="false">
      <c r="A118" s="399" t="s">
        <v>676</v>
      </c>
      <c r="B118" s="413" t="n">
        <v>0.0365</v>
      </c>
      <c r="C118" s="446" t="e">
        <f aca="false">ROUND((($C$19+$C$50+$C$70+$C$86+$C$94+$C$101+$C$100)/(1-($B$117)))*B118,2)</f>
        <v>#REF!</v>
      </c>
      <c r="D118" s="446" t="e">
        <f aca="false">ROUND((($D$19+$D$50+$D$70+$D$86+$D$94+$D$101+$D$100)/(1-($B$117)))*$B118,2)</f>
        <v>#REF!</v>
      </c>
      <c r="E118" s="446" t="e">
        <f aca="false">ROUND((($E$19+$E$50+$E$70+$E$86+$E$94+$E$101+$E$100)/(1-($B$117)))*$B118,2)</f>
        <v>#REF!</v>
      </c>
      <c r="F118" s="452" t="e">
        <f aca="false">ROUND(((F$19+F$50+F$70+F$86+F$94+F$101+F$100)/(1-($B$117)))*B118,2)</f>
        <v>#REF!</v>
      </c>
      <c r="G118" s="453" t="e">
        <f aca="false">ROUND(((G$19+G$50+G$70+G$86+G$94+G$101+G$100)/(1-($B$117)))*$B118,2)</f>
        <v>#REF!</v>
      </c>
      <c r="I118" s="416"/>
      <c r="J118" s="416"/>
      <c r="K118" s="416"/>
      <c r="L118" s="416"/>
      <c r="M118" s="416"/>
    </row>
    <row r="119" customFormat="false" ht="15" hidden="false" customHeight="false" outlineLevel="0" collapsed="false">
      <c r="A119" s="456" t="s">
        <v>677</v>
      </c>
      <c r="B119" s="457" t="n">
        <v>0.05</v>
      </c>
      <c r="C119" s="458" t="e">
        <f aca="false">ROUND((($C$19+$C$50+$C$70+$C$86+$C$94+$C$100+$C$101)/(1-($B$117)))*B119,2)</f>
        <v>#REF!</v>
      </c>
      <c r="D119" s="458" t="e">
        <f aca="false">ROUND((($D$19+$D$50+$D$70+$D$86+$D$94+$D$100+$D$101)/(1-($B$117)))*$B119,2)</f>
        <v>#REF!</v>
      </c>
      <c r="E119" s="458" t="e">
        <f aca="false">ROUND((($E$19+$E$50+$E$70+$E$86+$E$94+$E$100+$E$101)/(1-($B$117)))*$B119,2)</f>
        <v>#REF!</v>
      </c>
      <c r="F119" s="459" t="e">
        <f aca="false">ROUND((($F$19+$F$50+$F$70+$F$86+$F$94+$F$100+$F$101)/(1-($B$117)))*B119,2)</f>
        <v>#REF!</v>
      </c>
      <c r="G119" s="460" t="e">
        <f aca="false">ROUND((($G$19+$G$50+$G$70+$G$86+$G$94+$G$100+$G$101)/(1-($B$117)))*$B119,2)</f>
        <v>#REF!</v>
      </c>
      <c r="I119" s="416"/>
      <c r="J119" s="416"/>
      <c r="K119" s="416"/>
      <c r="L119" s="416"/>
      <c r="M119" s="416"/>
    </row>
    <row r="120" customFormat="false" ht="15" hidden="false" customHeight="false" outlineLevel="0" collapsed="false">
      <c r="A120" s="392" t="s">
        <v>683</v>
      </c>
      <c r="B120" s="461" t="n">
        <v>0.02</v>
      </c>
      <c r="C120" s="462" t="e">
        <f aca="false">SUM(C100:C102)</f>
        <v>#REF!</v>
      </c>
      <c r="D120" s="462" t="e">
        <f aca="false">SUM(D100:D102)</f>
        <v>#REF!</v>
      </c>
      <c r="E120" s="462" t="e">
        <f aca="false">SUM(E100:E102)</f>
        <v>#REF!</v>
      </c>
      <c r="F120" s="462" t="e">
        <f aca="false">SUM(F100:F102)</f>
        <v>#REF!</v>
      </c>
      <c r="G120" s="463" t="e">
        <f aca="false">SUM(G100:G102)</f>
        <v>#REF!</v>
      </c>
      <c r="I120" s="416"/>
      <c r="J120" s="416"/>
      <c r="K120" s="416"/>
      <c r="L120" s="416"/>
      <c r="M120" s="416"/>
    </row>
    <row r="121" customFormat="false" ht="15" hidden="false" customHeight="false" outlineLevel="0" collapsed="false">
      <c r="A121" s="392"/>
      <c r="B121" s="414" t="n">
        <v>0.025</v>
      </c>
      <c r="C121" s="407" t="e">
        <f aca="false">SUM(C100:C101,C105)</f>
        <v>#REF!</v>
      </c>
      <c r="D121" s="407" t="e">
        <f aca="false">SUM(D100:D101,D105)</f>
        <v>#REF!</v>
      </c>
      <c r="E121" s="407" t="e">
        <f aca="false">SUM(E100:E101,E105)</f>
        <v>#REF!</v>
      </c>
      <c r="F121" s="407" t="e">
        <f aca="false">SUM(F100:F101,F105)</f>
        <v>#REF!</v>
      </c>
      <c r="G121" s="408" t="e">
        <f aca="false">SUM(G100:G101,G105)</f>
        <v>#REF!</v>
      </c>
      <c r="I121" s="416"/>
      <c r="J121" s="416"/>
      <c r="K121" s="416"/>
      <c r="L121" s="416"/>
      <c r="M121" s="416"/>
    </row>
    <row r="122" customFormat="false" ht="15" hidden="false" customHeight="false" outlineLevel="0" collapsed="false">
      <c r="A122" s="392"/>
      <c r="B122" s="414" t="n">
        <v>0.03</v>
      </c>
      <c r="C122" s="407" t="e">
        <f aca="false">SUM(C100:C101,C108)</f>
        <v>#REF!</v>
      </c>
      <c r="D122" s="407" t="e">
        <f aca="false">SUM(D100:D101,D108)</f>
        <v>#REF!</v>
      </c>
      <c r="E122" s="407" t="e">
        <f aca="false">SUM(E100:E101,E108)</f>
        <v>#REF!</v>
      </c>
      <c r="F122" s="407" t="e">
        <f aca="false">SUM(F100:F101,F108)</f>
        <v>#REF!</v>
      </c>
      <c r="G122" s="408" t="e">
        <f aca="false">SUM(G100:G101,G108)</f>
        <v>#REF!</v>
      </c>
      <c r="I122" s="416"/>
      <c r="J122" s="416"/>
      <c r="K122" s="416"/>
      <c r="L122" s="416"/>
      <c r="M122" s="416"/>
    </row>
    <row r="123" customFormat="false" ht="15" hidden="false" customHeight="false" outlineLevel="0" collapsed="false">
      <c r="A123" s="392"/>
      <c r="B123" s="414" t="n">
        <v>0.035</v>
      </c>
      <c r="C123" s="407" t="e">
        <f aca="false">SUM(C100:C101,C111)</f>
        <v>#REF!</v>
      </c>
      <c r="D123" s="407" t="e">
        <f aca="false">SUM(D100:D101,D111)</f>
        <v>#REF!</v>
      </c>
      <c r="E123" s="407" t="e">
        <f aca="false">SUM(E100:E101,E111)</f>
        <v>#REF!</v>
      </c>
      <c r="F123" s="407" t="e">
        <f aca="false">SUM(F100:F101,F111)</f>
        <v>#REF!</v>
      </c>
      <c r="G123" s="408" t="e">
        <f aca="false">SUM(G100:G101,G111)</f>
        <v>#REF!</v>
      </c>
      <c r="I123" s="416"/>
      <c r="J123" s="416"/>
      <c r="K123" s="416"/>
      <c r="L123" s="416"/>
      <c r="M123" s="416"/>
    </row>
    <row r="124" customFormat="false" ht="15" hidden="false" customHeight="false" outlineLevel="0" collapsed="false">
      <c r="A124" s="392"/>
      <c r="B124" s="414" t="n">
        <v>0.04</v>
      </c>
      <c r="C124" s="407" t="e">
        <f aca="false">SUM(C100:C101,C114)</f>
        <v>#REF!</v>
      </c>
      <c r="D124" s="407" t="e">
        <f aca="false">SUM(D100:D101,D114)</f>
        <v>#REF!</v>
      </c>
      <c r="E124" s="407" t="e">
        <f aca="false">SUM(E100:E101,E114)</f>
        <v>#REF!</v>
      </c>
      <c r="F124" s="407" t="e">
        <f aca="false">SUM(F100:F101,F114)</f>
        <v>#REF!</v>
      </c>
      <c r="G124" s="408" t="e">
        <f aca="false">SUM(G100:G101,G114)</f>
        <v>#REF!</v>
      </c>
      <c r="I124" s="416"/>
      <c r="J124" s="416"/>
      <c r="K124" s="416"/>
      <c r="L124" s="416"/>
      <c r="M124" s="416"/>
    </row>
    <row r="125" customFormat="false" ht="15" hidden="false" customHeight="false" outlineLevel="0" collapsed="false">
      <c r="A125" s="392"/>
      <c r="B125" s="464" t="n">
        <v>0.05</v>
      </c>
      <c r="C125" s="465" t="e">
        <f aca="false">SUM(C100:C101,C117)</f>
        <v>#REF!</v>
      </c>
      <c r="D125" s="465" t="e">
        <f aca="false">SUM(D100:D101,D117)</f>
        <v>#REF!</v>
      </c>
      <c r="E125" s="465" t="e">
        <f aca="false">SUM(E100:E101,E117)</f>
        <v>#REF!</v>
      </c>
      <c r="F125" s="465" t="e">
        <f aca="false">SUM(F100:F101,F117)</f>
        <v>#REF!</v>
      </c>
      <c r="G125" s="466" t="e">
        <f aca="false">SUM(G100:G101,G117)</f>
        <v>#REF!</v>
      </c>
      <c r="I125" s="416"/>
      <c r="J125" s="416"/>
      <c r="K125" s="416"/>
      <c r="L125" s="416"/>
      <c r="M125" s="416"/>
    </row>
    <row r="126" customFormat="false" ht="15" hidden="false" customHeight="false" outlineLevel="0" collapsed="false">
      <c r="A126" s="467"/>
      <c r="B126" s="349"/>
      <c r="C126" s="349"/>
      <c r="D126" s="349"/>
      <c r="E126" s="349"/>
      <c r="F126" s="349"/>
      <c r="G126" s="391"/>
      <c r="I126" s="416"/>
      <c r="J126" s="416"/>
      <c r="K126" s="416"/>
      <c r="L126" s="416"/>
      <c r="M126" s="416"/>
    </row>
    <row r="127" customFormat="false" ht="15" hidden="false" customHeight="false" outlineLevel="0" collapsed="false">
      <c r="A127" s="467"/>
      <c r="B127" s="349"/>
      <c r="C127" s="349"/>
      <c r="D127" s="349"/>
      <c r="E127" s="349"/>
      <c r="F127" s="349"/>
      <c r="G127" s="391"/>
      <c r="I127" s="416"/>
      <c r="J127" s="416"/>
      <c r="K127" s="416"/>
      <c r="L127" s="416"/>
      <c r="M127" s="416"/>
    </row>
    <row r="128" customFormat="false" ht="15" hidden="false" customHeight="false" outlineLevel="0" collapsed="false">
      <c r="A128" s="468" t="s">
        <v>871</v>
      </c>
      <c r="B128" s="468"/>
      <c r="C128" s="468"/>
      <c r="D128" s="468"/>
      <c r="E128" s="468"/>
      <c r="F128" s="468"/>
      <c r="G128" s="468"/>
      <c r="I128" s="415"/>
      <c r="J128" s="415"/>
      <c r="K128" s="415"/>
      <c r="L128" s="415"/>
      <c r="M128" s="415"/>
    </row>
    <row r="129" customFormat="false" ht="15" hidden="false" customHeight="false" outlineLevel="0" collapsed="false">
      <c r="A129" s="469" t="s">
        <v>872</v>
      </c>
      <c r="B129" s="469"/>
      <c r="C129" s="469"/>
      <c r="D129" s="469"/>
      <c r="E129" s="469"/>
      <c r="F129" s="469"/>
      <c r="G129" s="469"/>
      <c r="I129" s="415"/>
      <c r="J129" s="415"/>
      <c r="K129" s="415"/>
      <c r="L129" s="415"/>
      <c r="M129" s="415"/>
    </row>
    <row r="130" customFormat="false" ht="15" hidden="false" customHeight="false" outlineLevel="0" collapsed="false">
      <c r="A130" s="470" t="s">
        <v>687</v>
      </c>
      <c r="B130" s="470"/>
      <c r="C130" s="471" t="e">
        <f aca="false">C19</f>
        <v>#REF!</v>
      </c>
      <c r="D130" s="471" t="e">
        <f aca="false">D19</f>
        <v>#REF!</v>
      </c>
      <c r="E130" s="471" t="e">
        <f aca="false">E19</f>
        <v>#REF!</v>
      </c>
      <c r="F130" s="471" t="e">
        <f aca="false">F19</f>
        <v>#REF!</v>
      </c>
      <c r="G130" s="472" t="e">
        <f aca="false">G19</f>
        <v>#REF!</v>
      </c>
      <c r="I130" s="416"/>
      <c r="J130" s="416"/>
      <c r="K130" s="416"/>
      <c r="L130" s="416"/>
      <c r="M130" s="416"/>
    </row>
    <row r="131" customFormat="false" ht="15" hidden="false" customHeight="false" outlineLevel="0" collapsed="false">
      <c r="A131" s="473" t="s">
        <v>688</v>
      </c>
      <c r="B131" s="473"/>
      <c r="C131" s="401" t="e">
        <f aca="false">C50</f>
        <v>#REF!</v>
      </c>
      <c r="D131" s="401" t="e">
        <f aca="false">D50</f>
        <v>#REF!</v>
      </c>
      <c r="E131" s="401" t="e">
        <f aca="false">E50</f>
        <v>#REF!</v>
      </c>
      <c r="F131" s="401" t="e">
        <f aca="false">F50</f>
        <v>#REF!</v>
      </c>
      <c r="G131" s="403" t="e">
        <f aca="false">G50</f>
        <v>#REF!</v>
      </c>
      <c r="I131" s="416"/>
      <c r="J131" s="416"/>
      <c r="K131" s="416"/>
      <c r="L131" s="416"/>
      <c r="M131" s="416"/>
    </row>
    <row r="132" customFormat="false" ht="15" hidden="false" customHeight="false" outlineLevel="0" collapsed="false">
      <c r="A132" s="473" t="s">
        <v>689</v>
      </c>
      <c r="B132" s="473"/>
      <c r="C132" s="401" t="e">
        <f aca="false">C70</f>
        <v>#REF!</v>
      </c>
      <c r="D132" s="401" t="e">
        <f aca="false">D70</f>
        <v>#REF!</v>
      </c>
      <c r="E132" s="401" t="e">
        <f aca="false">E70</f>
        <v>#REF!</v>
      </c>
      <c r="F132" s="401" t="e">
        <f aca="false">F70</f>
        <v>#REF!</v>
      </c>
      <c r="G132" s="403" t="e">
        <f aca="false">G70</f>
        <v>#REF!</v>
      </c>
      <c r="I132" s="416"/>
      <c r="J132" s="416"/>
      <c r="K132" s="416"/>
      <c r="L132" s="416"/>
      <c r="M132" s="416"/>
    </row>
    <row r="133" customFormat="false" ht="15" hidden="false" customHeight="false" outlineLevel="0" collapsed="false">
      <c r="A133" s="473" t="s">
        <v>690</v>
      </c>
      <c r="B133" s="473"/>
      <c r="C133" s="401" t="e">
        <f aca="false">C86</f>
        <v>#REF!</v>
      </c>
      <c r="D133" s="401" t="e">
        <f aca="false">D86</f>
        <v>#REF!</v>
      </c>
      <c r="E133" s="401" t="e">
        <f aca="false">E86</f>
        <v>#REF!</v>
      </c>
      <c r="F133" s="401" t="e">
        <f aca="false">F86</f>
        <v>#REF!</v>
      </c>
      <c r="G133" s="403" t="e">
        <f aca="false">G86</f>
        <v>#REF!</v>
      </c>
      <c r="I133" s="416"/>
      <c r="J133" s="416"/>
      <c r="K133" s="416"/>
      <c r="L133" s="416"/>
      <c r="M133" s="416"/>
    </row>
    <row r="134" customFormat="false" ht="15" hidden="false" customHeight="false" outlineLevel="0" collapsed="false">
      <c r="A134" s="474" t="s">
        <v>873</v>
      </c>
      <c r="B134" s="474"/>
      <c r="C134" s="475" t="e">
        <f aca="false">C94</f>
        <v>#NAME?</v>
      </c>
      <c r="D134" s="475" t="e">
        <f aca="false">D94</f>
        <v>#NAME?</v>
      </c>
      <c r="E134" s="475" t="e">
        <f aca="false">E94</f>
        <v>#NAME?</v>
      </c>
      <c r="F134" s="475" t="e">
        <f aca="false">F94</f>
        <v>#NAME?</v>
      </c>
      <c r="G134" s="476" t="e">
        <f aca="false">G94</f>
        <v>#NAME?</v>
      </c>
      <c r="I134" s="416"/>
      <c r="J134" s="416"/>
      <c r="K134" s="416"/>
      <c r="L134" s="416"/>
      <c r="M134" s="416"/>
    </row>
    <row r="135" customFormat="false" ht="15" hidden="false" customHeight="false" outlineLevel="0" collapsed="false">
      <c r="A135" s="386" t="s">
        <v>692</v>
      </c>
      <c r="B135" s="386"/>
      <c r="C135" s="477" t="e">
        <f aca="false">SUM(C130:C134)</f>
        <v>#REF!</v>
      </c>
      <c r="D135" s="477" t="e">
        <f aca="false">SUM(D130:D134)</f>
        <v>#REF!</v>
      </c>
      <c r="E135" s="477" t="e">
        <f aca="false">SUM(E130:E134)</f>
        <v>#REF!</v>
      </c>
      <c r="F135" s="477" t="e">
        <f aca="false">SUM(F130:F134)</f>
        <v>#REF!</v>
      </c>
      <c r="G135" s="478" t="e">
        <f aca="false">SUM(G130:G134)</f>
        <v>#REF!</v>
      </c>
      <c r="I135" s="416"/>
      <c r="J135" s="416"/>
      <c r="K135" s="416"/>
      <c r="L135" s="416"/>
      <c r="M135" s="416"/>
    </row>
    <row r="136" customFormat="false" ht="15" hidden="false" customHeight="false" outlineLevel="0" collapsed="false">
      <c r="A136" s="470" t="s">
        <v>874</v>
      </c>
      <c r="B136" s="470"/>
      <c r="C136" s="471" t="e">
        <f aca="false">C120</f>
        <v>#REF!</v>
      </c>
      <c r="D136" s="471" t="e">
        <f aca="false">D120</f>
        <v>#REF!</v>
      </c>
      <c r="E136" s="471" t="e">
        <f aca="false">E120</f>
        <v>#REF!</v>
      </c>
      <c r="F136" s="471" t="e">
        <f aca="false">F120</f>
        <v>#REF!</v>
      </c>
      <c r="G136" s="472" t="e">
        <f aca="false">G120</f>
        <v>#REF!</v>
      </c>
      <c r="I136" s="416"/>
      <c r="J136" s="416"/>
      <c r="K136" s="416"/>
      <c r="L136" s="416"/>
      <c r="M136" s="416"/>
    </row>
    <row r="137" customFormat="false" ht="15" hidden="false" customHeight="false" outlineLevel="0" collapsed="false">
      <c r="A137" s="473" t="s">
        <v>875</v>
      </c>
      <c r="B137" s="473"/>
      <c r="C137" s="401" t="e">
        <f aca="false">C121</f>
        <v>#REF!</v>
      </c>
      <c r="D137" s="401" t="e">
        <f aca="false">D121</f>
        <v>#REF!</v>
      </c>
      <c r="E137" s="401" t="e">
        <f aca="false">E121</f>
        <v>#REF!</v>
      </c>
      <c r="F137" s="401" t="e">
        <f aca="false">F121</f>
        <v>#REF!</v>
      </c>
      <c r="G137" s="403" t="e">
        <f aca="false">G121</f>
        <v>#REF!</v>
      </c>
      <c r="I137" s="416"/>
      <c r="J137" s="416"/>
      <c r="K137" s="416"/>
      <c r="L137" s="416"/>
      <c r="M137" s="416"/>
    </row>
    <row r="138" customFormat="false" ht="15" hidden="false" customHeight="false" outlineLevel="0" collapsed="false">
      <c r="A138" s="473" t="s">
        <v>876</v>
      </c>
      <c r="B138" s="473"/>
      <c r="C138" s="401" t="e">
        <f aca="false">C122</f>
        <v>#REF!</v>
      </c>
      <c r="D138" s="401" t="e">
        <f aca="false">D122</f>
        <v>#REF!</v>
      </c>
      <c r="E138" s="401" t="e">
        <f aca="false">E122</f>
        <v>#REF!</v>
      </c>
      <c r="F138" s="401" t="e">
        <f aca="false">F122</f>
        <v>#REF!</v>
      </c>
      <c r="G138" s="403" t="e">
        <f aca="false">G122</f>
        <v>#REF!</v>
      </c>
      <c r="I138" s="416"/>
      <c r="J138" s="416"/>
      <c r="K138" s="416"/>
      <c r="L138" s="416"/>
      <c r="M138" s="416"/>
    </row>
    <row r="139" customFormat="false" ht="15" hidden="false" customHeight="false" outlineLevel="0" collapsed="false">
      <c r="A139" s="473" t="s">
        <v>877</v>
      </c>
      <c r="B139" s="473"/>
      <c r="C139" s="401" t="e">
        <f aca="false">C123</f>
        <v>#REF!</v>
      </c>
      <c r="D139" s="401" t="e">
        <f aca="false">D123</f>
        <v>#REF!</v>
      </c>
      <c r="E139" s="401" t="e">
        <f aca="false">E123</f>
        <v>#REF!</v>
      </c>
      <c r="F139" s="401" t="e">
        <f aca="false">F123</f>
        <v>#REF!</v>
      </c>
      <c r="G139" s="403" t="e">
        <f aca="false">G123</f>
        <v>#REF!</v>
      </c>
      <c r="I139" s="416"/>
      <c r="J139" s="416"/>
      <c r="K139" s="416"/>
      <c r="L139" s="416"/>
      <c r="M139" s="416"/>
    </row>
    <row r="140" customFormat="false" ht="15" hidden="false" customHeight="false" outlineLevel="0" collapsed="false">
      <c r="A140" s="473" t="s">
        <v>878</v>
      </c>
      <c r="B140" s="473"/>
      <c r="C140" s="401" t="e">
        <f aca="false">C124</f>
        <v>#REF!</v>
      </c>
      <c r="D140" s="401" t="e">
        <f aca="false">D124</f>
        <v>#REF!</v>
      </c>
      <c r="E140" s="401" t="e">
        <f aca="false">E124</f>
        <v>#REF!</v>
      </c>
      <c r="F140" s="401" t="e">
        <f aca="false">F124</f>
        <v>#REF!</v>
      </c>
      <c r="G140" s="403" t="e">
        <f aca="false">G124</f>
        <v>#REF!</v>
      </c>
      <c r="I140" s="416"/>
      <c r="J140" s="416"/>
      <c r="K140" s="416"/>
      <c r="L140" s="428"/>
      <c r="M140" s="416"/>
    </row>
    <row r="141" customFormat="false" ht="15" hidden="false" customHeight="false" outlineLevel="0" collapsed="false">
      <c r="A141" s="479" t="s">
        <v>879</v>
      </c>
      <c r="B141" s="479"/>
      <c r="C141" s="475" t="e">
        <f aca="false">C125</f>
        <v>#REF!</v>
      </c>
      <c r="D141" s="475" t="e">
        <f aca="false">D125</f>
        <v>#REF!</v>
      </c>
      <c r="E141" s="475" t="e">
        <f aca="false">E125</f>
        <v>#REF!</v>
      </c>
      <c r="F141" s="475" t="e">
        <f aca="false">F125</f>
        <v>#REF!</v>
      </c>
      <c r="G141" s="476" t="e">
        <f aca="false">G125</f>
        <v>#REF!</v>
      </c>
      <c r="I141" s="416"/>
      <c r="J141" s="416"/>
      <c r="K141" s="416"/>
      <c r="L141" s="416"/>
      <c r="M141" s="416"/>
    </row>
    <row r="142" customFormat="false" ht="15" hidden="false" customHeight="false" outlineLevel="0" collapsed="false">
      <c r="A142" s="480" t="s">
        <v>880</v>
      </c>
      <c r="B142" s="481" t="s">
        <v>881</v>
      </c>
      <c r="C142" s="471" t="e">
        <f aca="false">C135+C136</f>
        <v>#REF!</v>
      </c>
      <c r="D142" s="471" t="e">
        <f aca="false">D135+D136</f>
        <v>#REF!</v>
      </c>
      <c r="E142" s="471" t="e">
        <f aca="false">E135+E136</f>
        <v>#REF!</v>
      </c>
      <c r="F142" s="471" t="e">
        <f aca="false">F135+F136</f>
        <v>#REF!</v>
      </c>
      <c r="G142" s="472" t="e">
        <f aca="false">G135+G136</f>
        <v>#REF!</v>
      </c>
      <c r="I142" s="423"/>
      <c r="J142" s="423"/>
      <c r="K142" s="423"/>
      <c r="L142" s="423"/>
      <c r="M142" s="423"/>
    </row>
    <row r="143" customFormat="false" ht="15" hidden="false" customHeight="false" outlineLevel="0" collapsed="false">
      <c r="A143" s="480"/>
      <c r="B143" s="482" t="s">
        <v>882</v>
      </c>
      <c r="C143" s="401" t="e">
        <f aca="false">C135+C137</f>
        <v>#REF!</v>
      </c>
      <c r="D143" s="401" t="e">
        <f aca="false">D135+D137</f>
        <v>#REF!</v>
      </c>
      <c r="E143" s="401" t="e">
        <f aca="false">E135+E137</f>
        <v>#REF!</v>
      </c>
      <c r="F143" s="401" t="e">
        <f aca="false">F135+F137</f>
        <v>#REF!</v>
      </c>
      <c r="G143" s="403" t="e">
        <f aca="false">G135+G137</f>
        <v>#REF!</v>
      </c>
      <c r="I143" s="423"/>
      <c r="J143" s="423"/>
      <c r="K143" s="423"/>
      <c r="L143" s="423"/>
      <c r="M143" s="423"/>
    </row>
    <row r="144" customFormat="false" ht="15" hidden="false" customHeight="false" outlineLevel="0" collapsed="false">
      <c r="A144" s="480"/>
      <c r="B144" s="482" t="s">
        <v>883</v>
      </c>
      <c r="C144" s="401" t="e">
        <f aca="false">C135+C138</f>
        <v>#REF!</v>
      </c>
      <c r="D144" s="401" t="e">
        <f aca="false">D135+D138</f>
        <v>#REF!</v>
      </c>
      <c r="E144" s="401" t="e">
        <f aca="false">E135+E138</f>
        <v>#REF!</v>
      </c>
      <c r="F144" s="401" t="e">
        <f aca="false">F135+F138</f>
        <v>#REF!</v>
      </c>
      <c r="G144" s="403" t="e">
        <f aca="false">G135+G138</f>
        <v>#REF!</v>
      </c>
      <c r="I144" s="423"/>
      <c r="J144" s="423"/>
      <c r="K144" s="423"/>
      <c r="L144" s="423"/>
      <c r="M144" s="423"/>
    </row>
    <row r="145" customFormat="false" ht="15" hidden="false" customHeight="false" outlineLevel="0" collapsed="false">
      <c r="A145" s="480"/>
      <c r="B145" s="482" t="s">
        <v>884</v>
      </c>
      <c r="C145" s="401" t="e">
        <f aca="false">C135+C139</f>
        <v>#REF!</v>
      </c>
      <c r="D145" s="401" t="e">
        <f aca="false">D135+D139</f>
        <v>#REF!</v>
      </c>
      <c r="E145" s="401" t="e">
        <f aca="false">E135+E139</f>
        <v>#REF!</v>
      </c>
      <c r="F145" s="401" t="e">
        <f aca="false">F135+F139</f>
        <v>#REF!</v>
      </c>
      <c r="G145" s="403" t="e">
        <f aca="false">G135+G139</f>
        <v>#REF!</v>
      </c>
      <c r="I145" s="423"/>
      <c r="J145" s="423"/>
      <c r="K145" s="423"/>
      <c r="L145" s="423"/>
      <c r="M145" s="423"/>
    </row>
    <row r="146" customFormat="false" ht="15" hidden="false" customHeight="false" outlineLevel="0" collapsed="false">
      <c r="A146" s="480"/>
      <c r="B146" s="482" t="s">
        <v>885</v>
      </c>
      <c r="C146" s="401" t="e">
        <f aca="false">C135+C140</f>
        <v>#REF!</v>
      </c>
      <c r="D146" s="401" t="e">
        <f aca="false">D135+D140</f>
        <v>#REF!</v>
      </c>
      <c r="E146" s="401" t="e">
        <f aca="false">E135+E140</f>
        <v>#REF!</v>
      </c>
      <c r="F146" s="401" t="e">
        <f aca="false">F135+F140</f>
        <v>#REF!</v>
      </c>
      <c r="G146" s="403" t="e">
        <f aca="false">G135+G140</f>
        <v>#REF!</v>
      </c>
      <c r="I146" s="423"/>
      <c r="J146" s="423"/>
      <c r="K146" s="423"/>
      <c r="L146" s="423"/>
      <c r="M146" s="423"/>
    </row>
    <row r="147" customFormat="false" ht="15" hidden="false" customHeight="false" outlineLevel="0" collapsed="false">
      <c r="A147" s="480"/>
      <c r="B147" s="483" t="s">
        <v>886</v>
      </c>
      <c r="C147" s="484" t="e">
        <f aca="false">C135+C141</f>
        <v>#REF!</v>
      </c>
      <c r="D147" s="484" t="e">
        <f aca="false">D135+D141</f>
        <v>#REF!</v>
      </c>
      <c r="E147" s="484" t="e">
        <f aca="false">E135+E141</f>
        <v>#REF!</v>
      </c>
      <c r="F147" s="484" t="e">
        <f aca="false">F135+F141</f>
        <v>#REF!</v>
      </c>
      <c r="G147" s="485" t="e">
        <f aca="false">G135+G141</f>
        <v>#REF!</v>
      </c>
      <c r="I147" s="423"/>
      <c r="J147" s="423"/>
      <c r="K147" s="423"/>
      <c r="L147" s="423"/>
      <c r="M147" s="423"/>
    </row>
    <row r="148" customFormat="false" ht="15" hidden="false" customHeight="false" outlineLevel="0" collapsed="false">
      <c r="A148" s="373" t="s">
        <v>887</v>
      </c>
      <c r="B148" s="486" t="s">
        <v>881</v>
      </c>
      <c r="C148" s="487" t="e">
        <f aca="false">C142</f>
        <v>#REF!</v>
      </c>
      <c r="D148" s="487" t="e">
        <f aca="false">D142</f>
        <v>#REF!</v>
      </c>
      <c r="E148" s="487" t="e">
        <f aca="false">E142</f>
        <v>#REF!</v>
      </c>
      <c r="F148" s="488" t="e">
        <f aca="false">F142/2</f>
        <v>#REF!</v>
      </c>
      <c r="G148" s="489" t="e">
        <f aca="false">G142/2</f>
        <v>#REF!</v>
      </c>
      <c r="I148" s="416"/>
      <c r="J148" s="416"/>
      <c r="K148" s="416"/>
      <c r="L148" s="416"/>
      <c r="M148" s="416"/>
    </row>
    <row r="149" customFormat="false" ht="15" hidden="false" customHeight="false" outlineLevel="0" collapsed="false">
      <c r="A149" s="373"/>
      <c r="B149" s="482" t="s">
        <v>882</v>
      </c>
      <c r="C149" s="401" t="e">
        <f aca="false">C143</f>
        <v>#REF!</v>
      </c>
      <c r="D149" s="401" t="e">
        <f aca="false">D143</f>
        <v>#REF!</v>
      </c>
      <c r="E149" s="401" t="e">
        <f aca="false">E143</f>
        <v>#REF!</v>
      </c>
      <c r="F149" s="402" t="e">
        <f aca="false">F143/2</f>
        <v>#REF!</v>
      </c>
      <c r="G149" s="403" t="e">
        <f aca="false">G143/2</f>
        <v>#REF!</v>
      </c>
      <c r="I149" s="490"/>
      <c r="J149" s="490"/>
      <c r="K149" s="490"/>
      <c r="L149" s="490"/>
      <c r="M149" s="490"/>
    </row>
    <row r="150" customFormat="false" ht="15" hidden="false" customHeight="false" outlineLevel="0" collapsed="false">
      <c r="A150" s="373"/>
      <c r="B150" s="482" t="s">
        <v>883</v>
      </c>
      <c r="C150" s="401" t="e">
        <f aca="false">C144</f>
        <v>#REF!</v>
      </c>
      <c r="D150" s="401" t="e">
        <f aca="false">D144</f>
        <v>#REF!</v>
      </c>
      <c r="E150" s="401" t="e">
        <f aca="false">E144</f>
        <v>#REF!</v>
      </c>
      <c r="F150" s="402" t="e">
        <f aca="false">F144/2</f>
        <v>#REF!</v>
      </c>
      <c r="G150" s="403" t="e">
        <f aca="false">G144/2</f>
        <v>#REF!</v>
      </c>
      <c r="I150" s="490"/>
      <c r="J150" s="490"/>
      <c r="K150" s="490"/>
      <c r="L150" s="490"/>
      <c r="M150" s="490"/>
    </row>
    <row r="151" customFormat="false" ht="15" hidden="false" customHeight="false" outlineLevel="0" collapsed="false">
      <c r="A151" s="373"/>
      <c r="B151" s="482" t="s">
        <v>884</v>
      </c>
      <c r="C151" s="401" t="e">
        <f aca="false">C145</f>
        <v>#REF!</v>
      </c>
      <c r="D151" s="401" t="e">
        <f aca="false">D145</f>
        <v>#REF!</v>
      </c>
      <c r="E151" s="401" t="e">
        <f aca="false">E145</f>
        <v>#REF!</v>
      </c>
      <c r="F151" s="402" t="e">
        <f aca="false">F145/2</f>
        <v>#REF!</v>
      </c>
      <c r="G151" s="403" t="e">
        <f aca="false">G145/2</f>
        <v>#REF!</v>
      </c>
      <c r="I151" s="490"/>
      <c r="J151" s="490"/>
      <c r="K151" s="490"/>
      <c r="L151" s="490"/>
      <c r="M151" s="490"/>
    </row>
    <row r="152" customFormat="false" ht="15" hidden="false" customHeight="false" outlineLevel="0" collapsed="false">
      <c r="A152" s="373"/>
      <c r="B152" s="482" t="s">
        <v>885</v>
      </c>
      <c r="C152" s="401" t="e">
        <f aca="false">C146</f>
        <v>#REF!</v>
      </c>
      <c r="D152" s="401" t="e">
        <f aca="false">D146</f>
        <v>#REF!</v>
      </c>
      <c r="E152" s="401" t="e">
        <f aca="false">E146</f>
        <v>#REF!</v>
      </c>
      <c r="F152" s="402" t="e">
        <f aca="false">F146/2</f>
        <v>#REF!</v>
      </c>
      <c r="G152" s="403" t="e">
        <f aca="false">G146/2</f>
        <v>#REF!</v>
      </c>
      <c r="I152" s="490"/>
      <c r="J152" s="490"/>
      <c r="K152" s="490"/>
      <c r="L152" s="490"/>
      <c r="M152" s="490"/>
    </row>
    <row r="153" customFormat="false" ht="15" hidden="false" customHeight="false" outlineLevel="0" collapsed="false">
      <c r="A153" s="373"/>
      <c r="B153" s="483" t="s">
        <v>886</v>
      </c>
      <c r="C153" s="484" t="e">
        <f aca="false">C147</f>
        <v>#REF!</v>
      </c>
      <c r="D153" s="484" t="e">
        <f aca="false">D147</f>
        <v>#REF!</v>
      </c>
      <c r="E153" s="484" t="e">
        <f aca="false">E147</f>
        <v>#REF!</v>
      </c>
      <c r="F153" s="491" t="e">
        <f aca="false">F147/2</f>
        <v>#REF!</v>
      </c>
      <c r="G153" s="485" t="e">
        <f aca="false">G147/2</f>
        <v>#REF!</v>
      </c>
      <c r="I153" s="490"/>
      <c r="J153" s="490"/>
      <c r="K153" s="490"/>
      <c r="L153" s="490"/>
      <c r="M153" s="490"/>
    </row>
    <row r="154" customFormat="false" ht="15" hidden="false" customHeight="true" outlineLevel="0" collapsed="false">
      <c r="A154" s="492" t="s">
        <v>888</v>
      </c>
      <c r="B154" s="493" t="s">
        <v>881</v>
      </c>
      <c r="C154" s="462"/>
      <c r="D154" s="462" t="e">
        <f aca="false">D142/220</f>
        <v>#REF!</v>
      </c>
      <c r="E154" s="462" t="e">
        <f aca="false">E142/220</f>
        <v>#REF!</v>
      </c>
      <c r="F154" s="462"/>
      <c r="G154" s="463"/>
    </row>
    <row r="155" customFormat="false" ht="15" hidden="false" customHeight="true" outlineLevel="0" collapsed="false">
      <c r="A155" s="492"/>
      <c r="B155" s="494" t="s">
        <v>882</v>
      </c>
      <c r="C155" s="407"/>
      <c r="D155" s="407" t="e">
        <f aca="false">D143/220</f>
        <v>#REF!</v>
      </c>
      <c r="E155" s="407" t="e">
        <f aca="false">E143/220</f>
        <v>#REF!</v>
      </c>
      <c r="F155" s="407"/>
      <c r="G155" s="408"/>
    </row>
    <row r="156" customFormat="false" ht="15" hidden="false" customHeight="false" outlineLevel="0" collapsed="false">
      <c r="A156" s="492"/>
      <c r="B156" s="494" t="s">
        <v>883</v>
      </c>
      <c r="C156" s="435"/>
      <c r="D156" s="407" t="e">
        <f aca="false">D144/220</f>
        <v>#REF!</v>
      </c>
      <c r="E156" s="407" t="e">
        <f aca="false">E144/220</f>
        <v>#REF!</v>
      </c>
      <c r="F156" s="435"/>
      <c r="G156" s="436"/>
    </row>
    <row r="157" customFormat="false" ht="15" hidden="false" customHeight="false" outlineLevel="0" collapsed="false">
      <c r="A157" s="492"/>
      <c r="B157" s="494" t="s">
        <v>884</v>
      </c>
      <c r="C157" s="435"/>
      <c r="D157" s="407" t="e">
        <f aca="false">D145/220</f>
        <v>#REF!</v>
      </c>
      <c r="E157" s="407" t="e">
        <f aca="false">E145/220</f>
        <v>#REF!</v>
      </c>
      <c r="F157" s="435"/>
      <c r="G157" s="436"/>
    </row>
    <row r="158" customFormat="false" ht="15" hidden="false" customHeight="false" outlineLevel="0" collapsed="false">
      <c r="A158" s="492"/>
      <c r="B158" s="494" t="s">
        <v>885</v>
      </c>
      <c r="C158" s="435"/>
      <c r="D158" s="407" t="e">
        <f aca="false">D146/220</f>
        <v>#REF!</v>
      </c>
      <c r="E158" s="407" t="e">
        <f aca="false">E146/220</f>
        <v>#REF!</v>
      </c>
      <c r="F158" s="435"/>
      <c r="G158" s="436"/>
    </row>
    <row r="159" customFormat="false" ht="15" hidden="false" customHeight="false" outlineLevel="0" collapsed="false">
      <c r="A159" s="492"/>
      <c r="B159" s="495" t="s">
        <v>886</v>
      </c>
      <c r="C159" s="496"/>
      <c r="D159" s="465" t="e">
        <f aca="false">D147/220</f>
        <v>#REF!</v>
      </c>
      <c r="E159" s="465" t="e">
        <f aca="false">E147/220</f>
        <v>#REF!</v>
      </c>
      <c r="F159" s="496"/>
      <c r="G159" s="497"/>
    </row>
  </sheetData>
  <mergeCells count="31">
    <mergeCell ref="A1:G1"/>
    <mergeCell ref="A2:G2"/>
    <mergeCell ref="A3:G3"/>
    <mergeCell ref="A4:B4"/>
    <mergeCell ref="A5:B5"/>
    <mergeCell ref="A6:B6"/>
    <mergeCell ref="A7:B7"/>
    <mergeCell ref="A10:G10"/>
    <mergeCell ref="A21:G21"/>
    <mergeCell ref="A52:G52"/>
    <mergeCell ref="A72:G72"/>
    <mergeCell ref="A88:G88"/>
    <mergeCell ref="A96:G96"/>
    <mergeCell ref="A120:A125"/>
    <mergeCell ref="A128:G128"/>
    <mergeCell ref="A129:G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A147"/>
    <mergeCell ref="A148:A153"/>
    <mergeCell ref="A154:A15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0000"/>
    <pageSetUpPr fitToPage="false"/>
  </sheetPr>
  <dimension ref="A1:AN29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5" zoomScalePageLayoutView="100" workbookViewId="0">
      <pane xSplit="2" ySplit="0" topLeftCell="AI1" activePane="topRight" state="frozen"/>
      <selection pane="topLeft" activeCell="A1" activeCellId="0" sqref="A1"/>
      <selection pane="topRight" activeCell="E183" activeCellId="0" sqref="E183"/>
    </sheetView>
  </sheetViews>
  <sheetFormatPr defaultColWidth="9.15625" defaultRowHeight="15" zeroHeight="false" outlineLevelRow="0" outlineLevelCol="0"/>
  <cols>
    <col collapsed="false" customWidth="false" hidden="false" outlineLevel="0" max="1" min="1" style="1" width="9.14"/>
    <col collapsed="false" customWidth="true" hidden="false" outlineLevel="0" max="2" min="2" style="1" width="40.57"/>
    <col collapsed="false" customWidth="true" hidden="false" outlineLevel="0" max="3" min="3" style="1" width="14.01"/>
    <col collapsed="false" customWidth="true" hidden="false" outlineLevel="0" max="4" min="4" style="1" width="11.71"/>
    <col collapsed="false" customWidth="true" hidden="false" outlineLevel="0" max="5" min="5" style="78" width="15.42"/>
    <col collapsed="false" customWidth="true" hidden="false" outlineLevel="0" max="6" min="6" style="1" width="8.42"/>
    <col collapsed="false" customWidth="true" hidden="false" outlineLevel="0" max="7" min="7" style="1" width="11.86"/>
    <col collapsed="false" customWidth="true" hidden="false" outlineLevel="0" max="8" min="8" style="1" width="9"/>
    <col collapsed="false" customWidth="true" hidden="false" outlineLevel="0" max="10" min="9" style="1" width="9.58"/>
    <col collapsed="false" customWidth="true" hidden="false" outlineLevel="0" max="11" min="11" style="78" width="11.71"/>
    <col collapsed="false" customWidth="true" hidden="false" outlineLevel="0" max="12" min="12" style="1" width="10.29"/>
    <col collapsed="false" customWidth="true" hidden="false" outlineLevel="0" max="13" min="13" style="1" width="9.29"/>
    <col collapsed="false" customWidth="false" hidden="false" outlineLevel="0" max="14" min="14" style="1" width="9.14"/>
    <col collapsed="false" customWidth="true" hidden="true" outlineLevel="0" max="19" min="15" style="1" width="11.57"/>
    <col collapsed="false" customWidth="true" hidden="false" outlineLevel="0" max="20" min="20" style="1" width="10.29"/>
    <col collapsed="false" customWidth="true" hidden="false" outlineLevel="0" max="21" min="21" style="1" width="13.14"/>
    <col collapsed="false" customWidth="true" hidden="false" outlineLevel="0" max="22" min="22" style="1" width="11.14"/>
    <col collapsed="false" customWidth="true" hidden="false" outlineLevel="0" max="23" min="23" style="1" width="12.29"/>
    <col collapsed="false" customWidth="true" hidden="false" outlineLevel="0" max="24" min="24" style="1" width="15"/>
    <col collapsed="false" customWidth="true" hidden="false" outlineLevel="0" max="25" min="25" style="1" width="10.85"/>
    <col collapsed="false" customWidth="true" hidden="true" outlineLevel="0" max="32" min="26" style="1" width="11.57"/>
    <col collapsed="false" customWidth="true" hidden="false" outlineLevel="0" max="36" min="33" style="60" width="14.15"/>
    <col collapsed="false" customWidth="true" hidden="false" outlineLevel="0" max="37" min="37" style="1" width="16.14"/>
    <col collapsed="false" customWidth="true" hidden="false" outlineLevel="0" max="38" min="38" style="1" width="20.71"/>
    <col collapsed="false" customWidth="true" hidden="false" outlineLevel="0" max="39" min="39" style="1" width="32.15"/>
    <col collapsed="false" customWidth="true" hidden="false" outlineLevel="0" max="40" min="40" style="1" width="24"/>
    <col collapsed="false" customWidth="false" hidden="false" outlineLevel="0" max="1020" min="41" style="1" width="9.14"/>
    <col collapsed="false" customWidth="true" hidden="false" outlineLevel="0" max="1024" min="1021" style="0" width="8.42"/>
  </cols>
  <sheetData>
    <row r="1" customFormat="false" ht="23.25" hidden="false" customHeight="false" outlineLevel="0" collapsed="false">
      <c r="A1" s="79" t="s">
        <v>84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</row>
    <row r="2" s="9" customFormat="true" ht="12.75" hidden="false" customHeight="false" outlineLevel="0" collapsed="false">
      <c r="A2" s="80" t="s">
        <v>1</v>
      </c>
      <c r="B2" s="80"/>
      <c r="C2" s="80" t="s">
        <v>85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1" t="s">
        <v>86</v>
      </c>
      <c r="U2" s="81"/>
      <c r="V2" s="82" t="s">
        <v>87</v>
      </c>
      <c r="W2" s="82"/>
      <c r="X2" s="82"/>
      <c r="Y2" s="83" t="s">
        <v>88</v>
      </c>
      <c r="Z2" s="80" t="s">
        <v>89</v>
      </c>
      <c r="AA2" s="80"/>
      <c r="AB2" s="80"/>
      <c r="AC2" s="80"/>
      <c r="AD2" s="84" t="s">
        <v>90</v>
      </c>
      <c r="AE2" s="84"/>
      <c r="AF2" s="84"/>
      <c r="AG2" s="85" t="s">
        <v>91</v>
      </c>
      <c r="AH2" s="85"/>
      <c r="AI2" s="85"/>
      <c r="AJ2" s="85"/>
      <c r="AK2" s="80" t="s">
        <v>92</v>
      </c>
      <c r="AL2" s="80"/>
      <c r="AM2" s="80"/>
      <c r="AN2" s="80"/>
    </row>
    <row r="3" s="48" customFormat="true" ht="84" hidden="false" customHeight="false" outlineLevel="0" collapsed="false">
      <c r="A3" s="48" t="s">
        <v>8</v>
      </c>
      <c r="B3" s="48" t="s">
        <v>9</v>
      </c>
      <c r="C3" s="86" t="s">
        <v>93</v>
      </c>
      <c r="D3" s="86" t="s">
        <v>94</v>
      </c>
      <c r="E3" s="68" t="s">
        <v>95</v>
      </c>
      <c r="F3" s="86" t="s">
        <v>96</v>
      </c>
      <c r="G3" s="86" t="s">
        <v>97</v>
      </c>
      <c r="H3" s="87" t="s">
        <v>98</v>
      </c>
      <c r="I3" s="87" t="s">
        <v>99</v>
      </c>
      <c r="J3" s="87" t="s">
        <v>100</v>
      </c>
      <c r="K3" s="88" t="s">
        <v>101</v>
      </c>
      <c r="L3" s="87" t="s">
        <v>102</v>
      </c>
      <c r="M3" s="87" t="s">
        <v>103</v>
      </c>
      <c r="N3" s="87" t="s">
        <v>104</v>
      </c>
      <c r="O3" s="86" t="s">
        <v>105</v>
      </c>
      <c r="P3" s="86" t="s">
        <v>106</v>
      </c>
      <c r="Q3" s="86" t="s">
        <v>107</v>
      </c>
      <c r="R3" s="86" t="s">
        <v>108</v>
      </c>
      <c r="S3" s="86" t="s">
        <v>109</v>
      </c>
      <c r="T3" s="89" t="s">
        <v>110</v>
      </c>
      <c r="U3" s="89" t="s">
        <v>111</v>
      </c>
      <c r="V3" s="90" t="s">
        <v>112</v>
      </c>
      <c r="W3" s="91" t="s">
        <v>113</v>
      </c>
      <c r="X3" s="91" t="s">
        <v>114</v>
      </c>
      <c r="Y3" s="92" t="s">
        <v>115</v>
      </c>
      <c r="Z3" s="93" t="s">
        <v>116</v>
      </c>
      <c r="AA3" s="93" t="s">
        <v>117</v>
      </c>
      <c r="AB3" s="93" t="s">
        <v>11</v>
      </c>
      <c r="AC3" s="93" t="s">
        <v>12</v>
      </c>
      <c r="AD3" s="87" t="s">
        <v>118</v>
      </c>
      <c r="AE3" s="87" t="s">
        <v>119</v>
      </c>
      <c r="AF3" s="87" t="s">
        <v>120</v>
      </c>
      <c r="AG3" s="94" t="s">
        <v>13</v>
      </c>
      <c r="AH3" s="94" t="s">
        <v>14</v>
      </c>
      <c r="AI3" s="94" t="s">
        <v>121</v>
      </c>
      <c r="AJ3" s="94" t="s">
        <v>122</v>
      </c>
      <c r="AK3" s="86" t="s">
        <v>123</v>
      </c>
      <c r="AL3" s="86" t="s">
        <v>124</v>
      </c>
      <c r="AM3" s="86" t="s">
        <v>125</v>
      </c>
      <c r="AN3" s="86" t="s">
        <v>126</v>
      </c>
    </row>
    <row r="4" customFormat="false" ht="15" hidden="false" customHeight="false" outlineLevel="0" collapsed="false">
      <c r="A4" s="1" t="n">
        <v>1</v>
      </c>
      <c r="B4" s="1" t="s">
        <v>127</v>
      </c>
      <c r="C4" s="1" t="s">
        <v>128</v>
      </c>
      <c r="F4" s="95"/>
      <c r="G4" s="1" t="n">
        <v>1</v>
      </c>
      <c r="H4" s="96" t="n">
        <v>1</v>
      </c>
      <c r="I4" s="96"/>
      <c r="J4" s="96"/>
      <c r="K4" s="78" t="n">
        <v>0</v>
      </c>
      <c r="L4" s="96" t="n">
        <f aca="false">K4/4</f>
        <v>0</v>
      </c>
      <c r="M4" s="96" t="n">
        <f aca="false">I4+L4</f>
        <v>0</v>
      </c>
      <c r="N4" s="96" t="n">
        <f aca="false">J4</f>
        <v>0</v>
      </c>
      <c r="O4" s="1" t="s">
        <v>129</v>
      </c>
      <c r="P4" s="1" t="s">
        <v>130</v>
      </c>
      <c r="Q4" s="1" t="s">
        <v>129</v>
      </c>
      <c r="R4" s="1" t="s">
        <v>131</v>
      </c>
      <c r="S4" s="1" t="n">
        <v>229037</v>
      </c>
      <c r="T4" s="97" t="s">
        <v>132</v>
      </c>
      <c r="U4" s="97"/>
      <c r="V4" s="98" t="n">
        <v>1751907</v>
      </c>
      <c r="W4" s="98" t="s">
        <v>133</v>
      </c>
      <c r="X4" s="98" t="s">
        <v>134</v>
      </c>
      <c r="Y4" s="99" t="s">
        <v>132</v>
      </c>
      <c r="Z4" s="100"/>
      <c r="AA4" s="100" t="n">
        <v>1</v>
      </c>
      <c r="AB4" s="100" t="n">
        <v>4</v>
      </c>
      <c r="AC4" s="100" t="n">
        <v>1</v>
      </c>
      <c r="AD4" s="96" t="n">
        <f aca="false">H4</f>
        <v>1</v>
      </c>
      <c r="AE4" s="96" t="n">
        <f aca="false">M4</f>
        <v>0</v>
      </c>
      <c r="AF4" s="96" t="n">
        <f aca="false">N4</f>
        <v>0</v>
      </c>
      <c r="AG4" s="31" t="n">
        <v>0</v>
      </c>
      <c r="AH4" s="31" t="n">
        <v>1</v>
      </c>
      <c r="AI4" s="31" t="n">
        <v>2</v>
      </c>
      <c r="AJ4" s="31" t="n">
        <v>0</v>
      </c>
      <c r="AK4" s="60" t="s">
        <v>135</v>
      </c>
      <c r="AL4" s="60" t="s">
        <v>136</v>
      </c>
      <c r="AM4" s="60" t="s">
        <v>137</v>
      </c>
      <c r="AN4" s="60" t="s">
        <v>138</v>
      </c>
    </row>
    <row r="5" customFormat="false" ht="15" hidden="false" customHeight="false" outlineLevel="0" collapsed="false">
      <c r="A5" s="1" t="n">
        <v>2</v>
      </c>
      <c r="B5" s="1" t="s">
        <v>139</v>
      </c>
      <c r="C5" s="1" t="s">
        <v>140</v>
      </c>
      <c r="F5" s="95"/>
      <c r="G5" s="1" t="n">
        <v>1</v>
      </c>
      <c r="H5" s="60"/>
      <c r="I5" s="60"/>
      <c r="J5" s="60"/>
      <c r="K5" s="78" t="n">
        <v>0</v>
      </c>
      <c r="L5" s="60" t="n">
        <f aca="false">K5/4</f>
        <v>0</v>
      </c>
      <c r="M5" s="60" t="n">
        <f aca="false">I5+L5</f>
        <v>0</v>
      </c>
      <c r="N5" s="60" t="n">
        <f aca="false">J5</f>
        <v>0</v>
      </c>
      <c r="O5" s="1" t="s">
        <v>129</v>
      </c>
      <c r="P5" s="1" t="s">
        <v>130</v>
      </c>
      <c r="Q5" s="1" t="s">
        <v>131</v>
      </c>
      <c r="R5" s="1" t="s">
        <v>141</v>
      </c>
      <c r="T5" s="97"/>
      <c r="U5" s="97"/>
      <c r="V5" s="98"/>
      <c r="W5" s="98"/>
      <c r="X5" s="98"/>
      <c r="Y5" s="99" t="s">
        <v>132</v>
      </c>
      <c r="Z5" s="101"/>
      <c r="AA5" s="101"/>
      <c r="AB5" s="101" t="n">
        <v>0</v>
      </c>
      <c r="AC5" s="101"/>
      <c r="AD5" s="60"/>
      <c r="AE5" s="60" t="n">
        <f aca="false">M5</f>
        <v>0</v>
      </c>
      <c r="AF5" s="60" t="n">
        <f aca="false">N5</f>
        <v>0</v>
      </c>
      <c r="AG5" s="102" t="n">
        <v>0</v>
      </c>
      <c r="AH5" s="102" t="n">
        <v>0</v>
      </c>
      <c r="AI5" s="102" t="n">
        <v>0</v>
      </c>
      <c r="AJ5" s="102" t="n">
        <v>0</v>
      </c>
      <c r="AK5" s="60" t="s">
        <v>135</v>
      </c>
      <c r="AL5" s="60" t="s">
        <v>136</v>
      </c>
      <c r="AM5" s="60" t="s">
        <v>137</v>
      </c>
      <c r="AN5" s="60" t="s">
        <v>138</v>
      </c>
    </row>
    <row r="6" customFormat="false" ht="15" hidden="false" customHeight="false" outlineLevel="0" collapsed="false">
      <c r="A6" s="1" t="n">
        <v>3</v>
      </c>
      <c r="B6" s="1" t="s">
        <v>142</v>
      </c>
      <c r="C6" s="1" t="s">
        <v>140</v>
      </c>
      <c r="F6" s="95"/>
      <c r="G6" s="1" t="n">
        <v>1</v>
      </c>
      <c r="H6" s="96"/>
      <c r="I6" s="96"/>
      <c r="J6" s="96"/>
      <c r="K6" s="78" t="n">
        <v>0</v>
      </c>
      <c r="L6" s="96" t="n">
        <f aca="false">K6/4</f>
        <v>0</v>
      </c>
      <c r="M6" s="96" t="n">
        <f aca="false">I6+L6</f>
        <v>0</v>
      </c>
      <c r="N6" s="96" t="n">
        <f aca="false">J6</f>
        <v>0</v>
      </c>
      <c r="O6" s="1" t="s">
        <v>131</v>
      </c>
      <c r="P6" s="1" t="s">
        <v>141</v>
      </c>
      <c r="Q6" s="1" t="s">
        <v>141</v>
      </c>
      <c r="R6" s="1" t="s">
        <v>141</v>
      </c>
      <c r="T6" s="97"/>
      <c r="U6" s="97"/>
      <c r="V6" s="98"/>
      <c r="W6" s="98"/>
      <c r="X6" s="98"/>
      <c r="Y6" s="99" t="s">
        <v>132</v>
      </c>
      <c r="Z6" s="100"/>
      <c r="AA6" s="100"/>
      <c r="AB6" s="100" t="n">
        <v>2</v>
      </c>
      <c r="AC6" s="100"/>
      <c r="AD6" s="96"/>
      <c r="AE6" s="96" t="n">
        <f aca="false">M6</f>
        <v>0</v>
      </c>
      <c r="AF6" s="96" t="n">
        <f aca="false">N6</f>
        <v>0</v>
      </c>
      <c r="AG6" s="31" t="n">
        <v>0</v>
      </c>
      <c r="AH6" s="31" t="n">
        <v>0</v>
      </c>
      <c r="AI6" s="31" t="n">
        <v>0</v>
      </c>
      <c r="AJ6" s="31" t="n">
        <v>0</v>
      </c>
      <c r="AK6" s="60" t="s">
        <v>135</v>
      </c>
      <c r="AL6" s="60" t="s">
        <v>136</v>
      </c>
      <c r="AM6" s="60" t="s">
        <v>137</v>
      </c>
      <c r="AN6" s="60" t="s">
        <v>138</v>
      </c>
    </row>
    <row r="7" customFormat="false" ht="15" hidden="false" customHeight="false" outlineLevel="0" collapsed="false">
      <c r="A7" s="1" t="n">
        <v>4</v>
      </c>
      <c r="B7" s="1" t="s">
        <v>143</v>
      </c>
      <c r="C7" s="1" t="s">
        <v>144</v>
      </c>
      <c r="D7" s="1" t="n">
        <v>6</v>
      </c>
      <c r="E7" s="78" t="s">
        <v>145</v>
      </c>
      <c r="F7" s="95" t="s">
        <v>146</v>
      </c>
      <c r="G7" s="1" t="n">
        <v>2</v>
      </c>
      <c r="H7" s="60"/>
      <c r="I7" s="60" t="n">
        <v>2</v>
      </c>
      <c r="J7" s="60" t="n">
        <v>1</v>
      </c>
      <c r="K7" s="78" t="n">
        <v>13</v>
      </c>
      <c r="L7" s="60" t="n">
        <f aca="false">ROUNDUP(K7/4,0)</f>
        <v>4</v>
      </c>
      <c r="M7" s="60" t="n">
        <f aca="false">I7+L7</f>
        <v>6</v>
      </c>
      <c r="N7" s="60" t="n">
        <f aca="false">J7</f>
        <v>1</v>
      </c>
      <c r="O7" s="1" t="s">
        <v>129</v>
      </c>
      <c r="P7" s="1" t="s">
        <v>130</v>
      </c>
      <c r="Q7" s="1" t="s">
        <v>131</v>
      </c>
      <c r="R7" s="1" t="s">
        <v>141</v>
      </c>
      <c r="S7" s="1" t="n">
        <v>46028</v>
      </c>
      <c r="T7" s="97"/>
      <c r="U7" s="97"/>
      <c r="V7" s="98"/>
      <c r="W7" s="98"/>
      <c r="X7" s="98"/>
      <c r="Y7" s="99" t="s">
        <v>132</v>
      </c>
      <c r="Z7" s="101"/>
      <c r="AA7" s="101" t="n">
        <v>1</v>
      </c>
      <c r="AB7" s="101" t="n">
        <v>5</v>
      </c>
      <c r="AC7" s="101" t="n">
        <v>3</v>
      </c>
      <c r="AD7" s="60"/>
      <c r="AE7" s="60" t="n">
        <f aca="false">M7</f>
        <v>6</v>
      </c>
      <c r="AF7" s="60" t="n">
        <f aca="false">N7</f>
        <v>1</v>
      </c>
      <c r="AG7" s="102" t="n">
        <v>0</v>
      </c>
      <c r="AH7" s="102" t="n">
        <v>1</v>
      </c>
      <c r="AI7" s="102" t="n">
        <v>5</v>
      </c>
      <c r="AJ7" s="102" t="n">
        <v>2</v>
      </c>
      <c r="AK7" s="60" t="s">
        <v>135</v>
      </c>
      <c r="AL7" s="60" t="s">
        <v>136</v>
      </c>
      <c r="AM7" s="60" t="s">
        <v>137</v>
      </c>
      <c r="AN7" s="60" t="s">
        <v>138</v>
      </c>
    </row>
    <row r="8" customFormat="false" ht="15" hidden="false" customHeight="false" outlineLevel="0" collapsed="false">
      <c r="A8" s="1" t="n">
        <v>5</v>
      </c>
      <c r="B8" s="1" t="s">
        <v>147</v>
      </c>
      <c r="C8" s="1" t="s">
        <v>144</v>
      </c>
      <c r="D8" s="1" t="n">
        <v>6</v>
      </c>
      <c r="E8" s="78" t="s">
        <v>145</v>
      </c>
      <c r="F8" s="95"/>
      <c r="G8" s="1" t="n">
        <v>1</v>
      </c>
      <c r="H8" s="96"/>
      <c r="I8" s="96"/>
      <c r="J8" s="96" t="n">
        <v>1</v>
      </c>
      <c r="K8" s="78" t="n">
        <v>0</v>
      </c>
      <c r="L8" s="96" t="n">
        <f aca="false">K8/4</f>
        <v>0</v>
      </c>
      <c r="M8" s="96" t="n">
        <f aca="false">I8+L8</f>
        <v>0</v>
      </c>
      <c r="N8" s="96" t="n">
        <f aca="false">J8</f>
        <v>1</v>
      </c>
      <c r="O8" s="1" t="s">
        <v>129</v>
      </c>
      <c r="P8" s="1" t="s">
        <v>130</v>
      </c>
      <c r="Q8" s="1" t="s">
        <v>131</v>
      </c>
      <c r="R8" s="1" t="s">
        <v>141</v>
      </c>
      <c r="S8" s="1" t="n">
        <v>20593</v>
      </c>
      <c r="T8" s="97" t="s">
        <v>132</v>
      </c>
      <c r="U8" s="97"/>
      <c r="V8" s="98"/>
      <c r="W8" s="98"/>
      <c r="X8" s="98"/>
      <c r="Y8" s="99" t="s">
        <v>132</v>
      </c>
      <c r="Z8" s="100"/>
      <c r="AA8" s="100"/>
      <c r="AB8" s="100" t="n">
        <v>4</v>
      </c>
      <c r="AC8" s="100"/>
      <c r="AD8" s="96"/>
      <c r="AE8" s="96" t="n">
        <f aca="false">M8</f>
        <v>0</v>
      </c>
      <c r="AF8" s="96" t="n">
        <f aca="false">N8</f>
        <v>1</v>
      </c>
      <c r="AG8" s="31" t="n">
        <v>0</v>
      </c>
      <c r="AH8" s="31" t="n">
        <v>1</v>
      </c>
      <c r="AI8" s="31" t="n">
        <v>2</v>
      </c>
      <c r="AJ8" s="31" t="n">
        <v>1</v>
      </c>
      <c r="AK8" s="60" t="s">
        <v>135</v>
      </c>
      <c r="AL8" s="60" t="s">
        <v>136</v>
      </c>
      <c r="AM8" s="60" t="s">
        <v>137</v>
      </c>
      <c r="AN8" s="60" t="s">
        <v>138</v>
      </c>
    </row>
    <row r="9" customFormat="false" ht="15" hidden="false" customHeight="false" outlineLevel="0" collapsed="false">
      <c r="A9" s="1" t="n">
        <v>6</v>
      </c>
      <c r="B9" s="1" t="s">
        <v>148</v>
      </c>
      <c r="C9" s="1" t="s">
        <v>144</v>
      </c>
      <c r="D9" s="1" t="n">
        <v>6</v>
      </c>
      <c r="E9" s="78" t="s">
        <v>145</v>
      </c>
      <c r="F9" s="95" t="s">
        <v>146</v>
      </c>
      <c r="G9" s="1" t="n">
        <v>3</v>
      </c>
      <c r="H9" s="60"/>
      <c r="I9" s="60" t="n">
        <v>2</v>
      </c>
      <c r="J9" s="60" t="n">
        <v>2</v>
      </c>
      <c r="K9" s="78" t="n">
        <v>20</v>
      </c>
      <c r="L9" s="60" t="n">
        <f aca="false">K9/4</f>
        <v>5</v>
      </c>
      <c r="M9" s="60" t="n">
        <f aca="false">I9+L9</f>
        <v>7</v>
      </c>
      <c r="N9" s="60" t="n">
        <f aca="false">J9</f>
        <v>2</v>
      </c>
      <c r="O9" s="1" t="s">
        <v>129</v>
      </c>
      <c r="P9" s="1" t="s">
        <v>130</v>
      </c>
      <c r="Q9" s="1" t="s">
        <v>129</v>
      </c>
      <c r="R9" s="1" t="s">
        <v>149</v>
      </c>
      <c r="S9" s="1" t="n">
        <v>63653</v>
      </c>
      <c r="T9" s="97" t="s">
        <v>132</v>
      </c>
      <c r="U9" s="97"/>
      <c r="V9" s="98"/>
      <c r="W9" s="98"/>
      <c r="X9" s="98"/>
      <c r="Y9" s="99" t="s">
        <v>132</v>
      </c>
      <c r="Z9" s="101"/>
      <c r="AA9" s="101"/>
      <c r="AB9" s="101" t="n">
        <v>10</v>
      </c>
      <c r="AC9" s="101" t="n">
        <v>4</v>
      </c>
      <c r="AD9" s="60"/>
      <c r="AE9" s="60" t="n">
        <f aca="false">M9</f>
        <v>7</v>
      </c>
      <c r="AF9" s="60" t="n">
        <f aca="false">N9</f>
        <v>2</v>
      </c>
      <c r="AG9" s="102" t="n">
        <v>0</v>
      </c>
      <c r="AH9" s="102" t="n">
        <v>0</v>
      </c>
      <c r="AI9" s="102" t="n">
        <v>2</v>
      </c>
      <c r="AJ9" s="102" t="n">
        <v>6</v>
      </c>
      <c r="AK9" s="60" t="s">
        <v>135</v>
      </c>
      <c r="AL9" s="60" t="s">
        <v>136</v>
      </c>
      <c r="AM9" s="60" t="s">
        <v>137</v>
      </c>
      <c r="AN9" s="60" t="s">
        <v>138</v>
      </c>
    </row>
    <row r="10" customFormat="false" ht="15" hidden="false" customHeight="false" outlineLevel="0" collapsed="false">
      <c r="A10" s="1" t="n">
        <v>7</v>
      </c>
      <c r="B10" s="1" t="s">
        <v>150</v>
      </c>
      <c r="C10" s="1" t="s">
        <v>140</v>
      </c>
      <c r="F10" s="95"/>
      <c r="G10" s="1" t="n">
        <v>1</v>
      </c>
      <c r="H10" s="96"/>
      <c r="I10" s="96"/>
      <c r="J10" s="96"/>
      <c r="K10" s="78" t="n">
        <v>0</v>
      </c>
      <c r="L10" s="96" t="n">
        <f aca="false">K10/4</f>
        <v>0</v>
      </c>
      <c r="M10" s="96" t="n">
        <f aca="false">I10+L10</f>
        <v>0</v>
      </c>
      <c r="N10" s="96" t="n">
        <f aca="false">J10</f>
        <v>0</v>
      </c>
      <c r="O10" s="1" t="s">
        <v>131</v>
      </c>
      <c r="P10" s="1" t="s">
        <v>141</v>
      </c>
      <c r="Q10" s="1" t="s">
        <v>141</v>
      </c>
      <c r="R10" s="1" t="s">
        <v>141</v>
      </c>
      <c r="S10" s="1" t="n">
        <v>11</v>
      </c>
      <c r="T10" s="97"/>
      <c r="U10" s="97"/>
      <c r="V10" s="98"/>
      <c r="W10" s="98"/>
      <c r="X10" s="98"/>
      <c r="Y10" s="99" t="s">
        <v>132</v>
      </c>
      <c r="Z10" s="100"/>
      <c r="AA10" s="100"/>
      <c r="AB10" s="100" t="s">
        <v>141</v>
      </c>
      <c r="AC10" s="100" t="s">
        <v>141</v>
      </c>
      <c r="AD10" s="96"/>
      <c r="AE10" s="96" t="n">
        <f aca="false">M10</f>
        <v>0</v>
      </c>
      <c r="AF10" s="96" t="n">
        <f aca="false">N10</f>
        <v>0</v>
      </c>
      <c r="AG10" s="31" t="n">
        <v>0</v>
      </c>
      <c r="AH10" s="31" t="n">
        <v>0</v>
      </c>
      <c r="AI10" s="31" t="n">
        <v>0</v>
      </c>
      <c r="AJ10" s="31" t="n">
        <v>0</v>
      </c>
      <c r="AK10" s="60" t="s">
        <v>135</v>
      </c>
      <c r="AL10" s="60" t="s">
        <v>136</v>
      </c>
      <c r="AM10" s="60" t="s">
        <v>137</v>
      </c>
      <c r="AN10" s="60" t="s">
        <v>138</v>
      </c>
    </row>
    <row r="11" customFormat="false" ht="15" hidden="false" customHeight="false" outlineLevel="0" collapsed="false">
      <c r="A11" s="1" t="n">
        <v>8</v>
      </c>
      <c r="B11" s="1" t="s">
        <v>151</v>
      </c>
      <c r="C11" s="1" t="s">
        <v>144</v>
      </c>
      <c r="D11" s="1" t="n">
        <v>6</v>
      </c>
      <c r="E11" s="78" t="s">
        <v>145</v>
      </c>
      <c r="F11" s="95" t="s">
        <v>146</v>
      </c>
      <c r="G11" s="1" t="n">
        <v>1</v>
      </c>
      <c r="H11" s="60"/>
      <c r="I11" s="60" t="n">
        <v>2</v>
      </c>
      <c r="J11" s="60" t="n">
        <v>0</v>
      </c>
      <c r="K11" s="78" t="n">
        <v>2</v>
      </c>
      <c r="L11" s="60" t="n">
        <f aca="false">ROUNDUP(K11/4,0)</f>
        <v>1</v>
      </c>
      <c r="M11" s="60" t="n">
        <f aca="false">I11+L11</f>
        <v>3</v>
      </c>
      <c r="N11" s="60" t="n">
        <f aca="false">J11</f>
        <v>0</v>
      </c>
      <c r="O11" s="1" t="s">
        <v>131</v>
      </c>
      <c r="P11" s="1" t="s">
        <v>141</v>
      </c>
      <c r="Q11" s="1" t="s">
        <v>141</v>
      </c>
      <c r="R11" s="1" t="s">
        <v>141</v>
      </c>
      <c r="S11" s="1" t="n">
        <v>19883</v>
      </c>
      <c r="T11" s="97"/>
      <c r="U11" s="97"/>
      <c r="V11" s="98" t="n">
        <v>140469</v>
      </c>
      <c r="W11" s="103" t="s">
        <v>152</v>
      </c>
      <c r="X11" s="98" t="s">
        <v>153</v>
      </c>
      <c r="Y11" s="99" t="s">
        <v>132</v>
      </c>
      <c r="Z11" s="101"/>
      <c r="AA11" s="101" t="n">
        <v>1</v>
      </c>
      <c r="AB11" s="101" t="n">
        <v>2</v>
      </c>
      <c r="AC11" s="101" t="n">
        <v>1</v>
      </c>
      <c r="AD11" s="60"/>
      <c r="AE11" s="60" t="n">
        <f aca="false">M11</f>
        <v>3</v>
      </c>
      <c r="AF11" s="60" t="n">
        <f aca="false">N11</f>
        <v>0</v>
      </c>
      <c r="AG11" s="102" t="n">
        <v>0</v>
      </c>
      <c r="AH11" s="102" t="n">
        <v>1</v>
      </c>
      <c r="AI11" s="102" t="n">
        <v>2</v>
      </c>
      <c r="AJ11" s="102" t="n">
        <v>1</v>
      </c>
      <c r="AK11" s="60" t="s">
        <v>135</v>
      </c>
      <c r="AL11" s="60" t="s">
        <v>136</v>
      </c>
      <c r="AM11" s="60" t="s">
        <v>137</v>
      </c>
      <c r="AN11" s="60" t="s">
        <v>138</v>
      </c>
    </row>
    <row r="12" customFormat="false" ht="15" hidden="false" customHeight="false" outlineLevel="0" collapsed="false">
      <c r="A12" s="1" t="n">
        <v>9</v>
      </c>
      <c r="B12" s="1" t="s">
        <v>154</v>
      </c>
      <c r="C12" s="1" t="s">
        <v>144</v>
      </c>
      <c r="D12" s="1" t="n">
        <v>6</v>
      </c>
      <c r="E12" s="78" t="s">
        <v>145</v>
      </c>
      <c r="F12" s="95" t="s">
        <v>146</v>
      </c>
      <c r="G12" s="1" t="n">
        <v>1</v>
      </c>
      <c r="H12" s="96"/>
      <c r="I12" s="96" t="n">
        <v>2</v>
      </c>
      <c r="J12" s="96" t="n">
        <v>0</v>
      </c>
      <c r="K12" s="78" t="n">
        <v>3</v>
      </c>
      <c r="L12" s="96" t="n">
        <f aca="false">ROUNDUP(K12/4,0)</f>
        <v>1</v>
      </c>
      <c r="M12" s="96" t="n">
        <f aca="false">I12+L12</f>
        <v>3</v>
      </c>
      <c r="N12" s="96" t="n">
        <f aca="false">J12</f>
        <v>0</v>
      </c>
      <c r="O12" s="1" t="s">
        <v>131</v>
      </c>
      <c r="P12" s="1" t="s">
        <v>141</v>
      </c>
      <c r="Q12" s="1" t="s">
        <v>141</v>
      </c>
      <c r="R12" s="1" t="s">
        <v>141</v>
      </c>
      <c r="S12" s="1" t="n">
        <v>12774</v>
      </c>
      <c r="T12" s="97"/>
      <c r="U12" s="97"/>
      <c r="V12" s="98" t="n">
        <v>119123</v>
      </c>
      <c r="W12" s="98" t="n">
        <v>32</v>
      </c>
      <c r="X12" s="98" t="s">
        <v>155</v>
      </c>
      <c r="Y12" s="99" t="s">
        <v>132</v>
      </c>
      <c r="Z12" s="100"/>
      <c r="AA12" s="100"/>
      <c r="AB12" s="100" t="n">
        <v>2</v>
      </c>
      <c r="AC12" s="100" t="n">
        <v>1</v>
      </c>
      <c r="AD12" s="96"/>
      <c r="AE12" s="96" t="n">
        <f aca="false">M12</f>
        <v>3</v>
      </c>
      <c r="AF12" s="96" t="n">
        <f aca="false">N12</f>
        <v>0</v>
      </c>
      <c r="AG12" s="31" t="n">
        <v>0</v>
      </c>
      <c r="AH12" s="31" t="n">
        <v>0</v>
      </c>
      <c r="AI12" s="31" t="n">
        <v>3</v>
      </c>
      <c r="AJ12" s="31" t="n">
        <v>0</v>
      </c>
      <c r="AK12" s="60" t="s">
        <v>135</v>
      </c>
      <c r="AL12" s="60" t="s">
        <v>136</v>
      </c>
      <c r="AM12" s="60" t="s">
        <v>137</v>
      </c>
      <c r="AN12" s="60" t="s">
        <v>138</v>
      </c>
    </row>
    <row r="13" customFormat="false" ht="15" hidden="false" customHeight="false" outlineLevel="0" collapsed="false">
      <c r="A13" s="1" t="n">
        <v>10</v>
      </c>
      <c r="B13" s="1" t="s">
        <v>156</v>
      </c>
      <c r="C13" s="1" t="s">
        <v>144</v>
      </c>
      <c r="D13" s="1" t="n">
        <v>6</v>
      </c>
      <c r="E13" s="78" t="s">
        <v>145</v>
      </c>
      <c r="F13" s="95" t="s">
        <v>146</v>
      </c>
      <c r="G13" s="1" t="n">
        <v>1</v>
      </c>
      <c r="H13" s="60"/>
      <c r="I13" s="60" t="n">
        <v>2</v>
      </c>
      <c r="J13" s="60" t="n">
        <v>0</v>
      </c>
      <c r="K13" s="78" t="n">
        <v>3</v>
      </c>
      <c r="L13" s="60" t="n">
        <f aca="false">ROUNDUP(K13/4,0)</f>
        <v>1</v>
      </c>
      <c r="M13" s="60" t="n">
        <f aca="false">I13+L13</f>
        <v>3</v>
      </c>
      <c r="N13" s="60" t="n">
        <f aca="false">J13</f>
        <v>0</v>
      </c>
      <c r="O13" s="1" t="s">
        <v>129</v>
      </c>
      <c r="P13" s="1" t="s">
        <v>130</v>
      </c>
      <c r="Q13" s="1" t="s">
        <v>131</v>
      </c>
      <c r="R13" s="1" t="s">
        <v>141</v>
      </c>
      <c r="S13" s="1" t="n">
        <v>19990</v>
      </c>
      <c r="T13" s="97"/>
      <c r="U13" s="97"/>
      <c r="V13" s="98" t="n">
        <v>264210</v>
      </c>
      <c r="W13" s="98" t="s">
        <v>157</v>
      </c>
      <c r="X13" s="98" t="s">
        <v>158</v>
      </c>
      <c r="Y13" s="99" t="s">
        <v>132</v>
      </c>
      <c r="Z13" s="101"/>
      <c r="AA13" s="101"/>
      <c r="AB13" s="101" t="n">
        <v>2</v>
      </c>
      <c r="AC13" s="101" t="n">
        <v>1</v>
      </c>
      <c r="AD13" s="60"/>
      <c r="AE13" s="60" t="n">
        <f aca="false">M13</f>
        <v>3</v>
      </c>
      <c r="AF13" s="60" t="n">
        <f aca="false">N13</f>
        <v>0</v>
      </c>
      <c r="AG13" s="102" t="n">
        <v>0</v>
      </c>
      <c r="AH13" s="102" t="n">
        <v>0</v>
      </c>
      <c r="AI13" s="102" t="n">
        <v>3</v>
      </c>
      <c r="AJ13" s="102" t="n">
        <v>0</v>
      </c>
      <c r="AK13" s="60" t="s">
        <v>135</v>
      </c>
      <c r="AL13" s="60" t="s">
        <v>136</v>
      </c>
      <c r="AM13" s="60" t="s">
        <v>137</v>
      </c>
      <c r="AN13" s="60" t="s">
        <v>138</v>
      </c>
    </row>
    <row r="14" customFormat="false" ht="15" hidden="false" customHeight="false" outlineLevel="0" collapsed="false">
      <c r="A14" s="1" t="n">
        <v>11</v>
      </c>
      <c r="B14" s="1" t="s">
        <v>159</v>
      </c>
      <c r="C14" s="1" t="s">
        <v>144</v>
      </c>
      <c r="D14" s="1" t="n">
        <v>6</v>
      </c>
      <c r="E14" s="78" t="s">
        <v>145</v>
      </c>
      <c r="F14" s="95" t="s">
        <v>146</v>
      </c>
      <c r="G14" s="1" t="n">
        <v>1</v>
      </c>
      <c r="H14" s="96"/>
      <c r="I14" s="96" t="n">
        <v>2</v>
      </c>
      <c r="J14" s="96" t="n">
        <v>0</v>
      </c>
      <c r="K14" s="78" t="n">
        <v>3</v>
      </c>
      <c r="L14" s="96" t="n">
        <f aca="false">ROUNDUP(K14/4,0)</f>
        <v>1</v>
      </c>
      <c r="M14" s="96" t="n">
        <f aca="false">I14+L14</f>
        <v>3</v>
      </c>
      <c r="N14" s="96" t="n">
        <f aca="false">J14</f>
        <v>0</v>
      </c>
      <c r="O14" s="1" t="s">
        <v>131</v>
      </c>
      <c r="P14" s="1" t="s">
        <v>141</v>
      </c>
      <c r="Q14" s="1" t="s">
        <v>141</v>
      </c>
      <c r="R14" s="1" t="s">
        <v>141</v>
      </c>
      <c r="S14" s="1" t="n">
        <v>10289</v>
      </c>
      <c r="T14" s="97"/>
      <c r="U14" s="97"/>
      <c r="V14" s="98" t="n">
        <v>212967</v>
      </c>
      <c r="W14" s="98" t="s">
        <v>160</v>
      </c>
      <c r="X14" s="98" t="s">
        <v>161</v>
      </c>
      <c r="Y14" s="99" t="s">
        <v>132</v>
      </c>
      <c r="Z14" s="100"/>
      <c r="AA14" s="100"/>
      <c r="AB14" s="100" t="n">
        <v>2</v>
      </c>
      <c r="AC14" s="100" t="n">
        <v>1</v>
      </c>
      <c r="AD14" s="96"/>
      <c r="AE14" s="96" t="n">
        <f aca="false">M14</f>
        <v>3</v>
      </c>
      <c r="AF14" s="96" t="n">
        <f aca="false">N14</f>
        <v>0</v>
      </c>
      <c r="AG14" s="31" t="n">
        <v>0</v>
      </c>
      <c r="AH14" s="31" t="n">
        <v>0</v>
      </c>
      <c r="AI14" s="31" t="n">
        <v>3</v>
      </c>
      <c r="AJ14" s="31" t="n">
        <v>0</v>
      </c>
      <c r="AK14" s="60" t="s">
        <v>135</v>
      </c>
      <c r="AL14" s="60" t="s">
        <v>136</v>
      </c>
      <c r="AM14" s="60" t="s">
        <v>137</v>
      </c>
      <c r="AN14" s="60" t="s">
        <v>138</v>
      </c>
    </row>
    <row r="15" customFormat="false" ht="15" hidden="false" customHeight="false" outlineLevel="0" collapsed="false">
      <c r="A15" s="1" t="n">
        <v>12</v>
      </c>
      <c r="B15" s="1" t="s">
        <v>162</v>
      </c>
      <c r="C15" s="1" t="s">
        <v>144</v>
      </c>
      <c r="D15" s="1" t="n">
        <v>6</v>
      </c>
      <c r="E15" s="78" t="str">
        <f aca="false">IF(D15&gt;8,"2 de 30h","1 de 44h")</f>
        <v>1 de 44h</v>
      </c>
      <c r="F15" s="95"/>
      <c r="G15" s="1" t="n">
        <v>1</v>
      </c>
      <c r="H15" s="60"/>
      <c r="I15" s="60"/>
      <c r="J15" s="60" t="n">
        <v>1</v>
      </c>
      <c r="K15" s="78" t="n">
        <v>0</v>
      </c>
      <c r="L15" s="60" t="n">
        <f aca="false">K15/4</f>
        <v>0</v>
      </c>
      <c r="M15" s="60" t="n">
        <f aca="false">I15+L15</f>
        <v>0</v>
      </c>
      <c r="N15" s="60" t="n">
        <f aca="false">J15</f>
        <v>1</v>
      </c>
      <c r="O15" s="1" t="s">
        <v>129</v>
      </c>
      <c r="P15" s="1" t="s">
        <v>130</v>
      </c>
      <c r="Q15" s="1" t="s">
        <v>131</v>
      </c>
      <c r="R15" s="1" t="s">
        <v>141</v>
      </c>
      <c r="S15" s="1" t="n">
        <v>5893</v>
      </c>
      <c r="T15" s="97"/>
      <c r="U15" s="97"/>
      <c r="V15" s="98" t="n">
        <v>81675</v>
      </c>
      <c r="W15" s="98"/>
      <c r="X15" s="98" t="s">
        <v>163</v>
      </c>
      <c r="Y15" s="99"/>
      <c r="Z15" s="101"/>
      <c r="AA15" s="101"/>
      <c r="AB15" s="101" t="n">
        <v>2</v>
      </c>
      <c r="AC15" s="101"/>
      <c r="AD15" s="60"/>
      <c r="AE15" s="60" t="n">
        <f aca="false">M15</f>
        <v>0</v>
      </c>
      <c r="AF15" s="60" t="n">
        <f aca="false">N15</f>
        <v>1</v>
      </c>
      <c r="AG15" s="102" t="n">
        <v>0</v>
      </c>
      <c r="AH15" s="102" t="n">
        <v>0</v>
      </c>
      <c r="AI15" s="102" t="n">
        <v>0</v>
      </c>
      <c r="AJ15" s="102" t="n">
        <v>1</v>
      </c>
      <c r="AK15" s="60" t="s">
        <v>135</v>
      </c>
      <c r="AL15" s="60" t="s">
        <v>136</v>
      </c>
      <c r="AM15" s="60" t="s">
        <v>137</v>
      </c>
      <c r="AN15" s="60" t="s">
        <v>138</v>
      </c>
    </row>
    <row r="16" customFormat="false" ht="15" hidden="false" customHeight="false" outlineLevel="0" collapsed="false">
      <c r="A16" s="1" t="n">
        <v>13</v>
      </c>
      <c r="B16" s="1" t="s">
        <v>164</v>
      </c>
      <c r="C16" s="1" t="s">
        <v>144</v>
      </c>
      <c r="D16" s="1" t="n">
        <v>6</v>
      </c>
      <c r="E16" s="78" t="s">
        <v>145</v>
      </c>
      <c r="F16" s="95"/>
      <c r="G16" s="1" t="n">
        <v>1</v>
      </c>
      <c r="H16" s="96"/>
      <c r="I16" s="96" t="n">
        <v>2</v>
      </c>
      <c r="J16" s="96" t="n">
        <v>0</v>
      </c>
      <c r="K16" s="78" t="n">
        <v>0</v>
      </c>
      <c r="L16" s="96" t="n">
        <f aca="false">K16/4</f>
        <v>0</v>
      </c>
      <c r="M16" s="96" t="n">
        <f aca="false">I16+L16</f>
        <v>2</v>
      </c>
      <c r="N16" s="96" t="n">
        <f aca="false">J16</f>
        <v>0</v>
      </c>
      <c r="O16" s="1" t="s">
        <v>131</v>
      </c>
      <c r="P16" s="1" t="s">
        <v>141</v>
      </c>
      <c r="Q16" s="1" t="s">
        <v>141</v>
      </c>
      <c r="R16" s="1" t="s">
        <v>141</v>
      </c>
      <c r="S16" s="1" t="n">
        <v>5894</v>
      </c>
      <c r="T16" s="97"/>
      <c r="U16" s="97"/>
      <c r="V16" s="98" t="n">
        <v>112377</v>
      </c>
      <c r="W16" s="98" t="s">
        <v>165</v>
      </c>
      <c r="X16" s="98" t="s">
        <v>166</v>
      </c>
      <c r="Y16" s="99" t="s">
        <v>132</v>
      </c>
      <c r="Z16" s="100"/>
      <c r="AA16" s="100"/>
      <c r="AB16" s="100" t="n">
        <v>1</v>
      </c>
      <c r="AC16" s="100" t="n">
        <v>1</v>
      </c>
      <c r="AD16" s="96"/>
      <c r="AE16" s="96" t="n">
        <f aca="false">M16</f>
        <v>2</v>
      </c>
      <c r="AF16" s="96" t="n">
        <f aca="false">N16</f>
        <v>0</v>
      </c>
      <c r="AG16" s="31" t="n">
        <v>0</v>
      </c>
      <c r="AH16" s="31" t="n">
        <v>0</v>
      </c>
      <c r="AI16" s="31" t="n">
        <v>2</v>
      </c>
      <c r="AJ16" s="31" t="n">
        <v>0</v>
      </c>
      <c r="AK16" s="60" t="s">
        <v>135</v>
      </c>
      <c r="AL16" s="60" t="s">
        <v>136</v>
      </c>
      <c r="AM16" s="60" t="s">
        <v>137</v>
      </c>
      <c r="AN16" s="60" t="s">
        <v>138</v>
      </c>
    </row>
    <row r="17" customFormat="false" ht="15" hidden="false" customHeight="false" outlineLevel="0" collapsed="false">
      <c r="A17" s="1" t="n">
        <v>14</v>
      </c>
      <c r="B17" s="1" t="s">
        <v>167</v>
      </c>
      <c r="C17" s="1" t="s">
        <v>144</v>
      </c>
      <c r="D17" s="1" t="n">
        <v>6</v>
      </c>
      <c r="E17" s="78" t="s">
        <v>145</v>
      </c>
      <c r="F17" s="95"/>
      <c r="G17" s="1" t="n">
        <v>1</v>
      </c>
      <c r="H17" s="60"/>
      <c r="I17" s="60" t="n">
        <v>2</v>
      </c>
      <c r="J17" s="60" t="n">
        <v>0</v>
      </c>
      <c r="K17" s="78" t="n">
        <v>0</v>
      </c>
      <c r="L17" s="60" t="n">
        <f aca="false">K17/4</f>
        <v>0</v>
      </c>
      <c r="M17" s="60" t="n">
        <f aca="false">I17+L17</f>
        <v>2</v>
      </c>
      <c r="N17" s="60" t="n">
        <f aca="false">J17</f>
        <v>0</v>
      </c>
      <c r="O17" s="1" t="s">
        <v>129</v>
      </c>
      <c r="P17" s="1" t="s">
        <v>130</v>
      </c>
      <c r="Q17" s="1" t="s">
        <v>131</v>
      </c>
      <c r="R17" s="1" t="s">
        <v>141</v>
      </c>
      <c r="S17" s="1" t="n">
        <v>9234</v>
      </c>
      <c r="T17" s="97"/>
      <c r="U17" s="97"/>
      <c r="V17" s="98" t="n">
        <v>117008</v>
      </c>
      <c r="W17" s="98" t="n">
        <v>39</v>
      </c>
      <c r="X17" s="98" t="s">
        <v>168</v>
      </c>
      <c r="Y17" s="99" t="s">
        <v>132</v>
      </c>
      <c r="Z17" s="101"/>
      <c r="AA17" s="101"/>
      <c r="AB17" s="101" t="n">
        <v>1</v>
      </c>
      <c r="AC17" s="101" t="n">
        <v>1</v>
      </c>
      <c r="AD17" s="60"/>
      <c r="AE17" s="60" t="n">
        <f aca="false">M17</f>
        <v>2</v>
      </c>
      <c r="AF17" s="60" t="n">
        <f aca="false">N17</f>
        <v>0</v>
      </c>
      <c r="AG17" s="102" t="n">
        <v>0</v>
      </c>
      <c r="AH17" s="102" t="n">
        <v>0</v>
      </c>
      <c r="AI17" s="102" t="n">
        <v>2</v>
      </c>
      <c r="AJ17" s="102" t="n">
        <v>0</v>
      </c>
      <c r="AK17" s="60" t="s">
        <v>135</v>
      </c>
      <c r="AL17" s="60" t="s">
        <v>136</v>
      </c>
      <c r="AM17" s="60" t="s">
        <v>137</v>
      </c>
      <c r="AN17" s="60" t="s">
        <v>138</v>
      </c>
    </row>
    <row r="18" customFormat="false" ht="15" hidden="false" customHeight="false" outlineLevel="0" collapsed="false">
      <c r="A18" s="1" t="n">
        <v>15</v>
      </c>
      <c r="B18" s="1" t="s">
        <v>169</v>
      </c>
      <c r="C18" s="1" t="s">
        <v>170</v>
      </c>
      <c r="F18" s="95"/>
      <c r="G18" s="1" t="n">
        <v>0</v>
      </c>
      <c r="H18" s="96"/>
      <c r="I18" s="96"/>
      <c r="J18" s="96"/>
      <c r="K18" s="104" t="n">
        <v>0</v>
      </c>
      <c r="L18" s="96"/>
      <c r="M18" s="96" t="n">
        <f aca="false">I18+L18</f>
        <v>0</v>
      </c>
      <c r="N18" s="96" t="n">
        <f aca="false">J18</f>
        <v>0</v>
      </c>
      <c r="O18" s="1" t="s">
        <v>170</v>
      </c>
      <c r="P18" s="1" t="s">
        <v>170</v>
      </c>
      <c r="Q18" s="1" t="s">
        <v>170</v>
      </c>
      <c r="R18" s="1" t="s">
        <v>170</v>
      </c>
      <c r="S18" s="1" t="n">
        <v>5005</v>
      </c>
      <c r="T18" s="97"/>
      <c r="U18" s="97"/>
      <c r="V18" s="98" t="n">
        <v>38769</v>
      </c>
      <c r="W18" s="98"/>
      <c r="X18" s="98" t="s">
        <v>171</v>
      </c>
      <c r="Y18" s="99"/>
      <c r="Z18" s="105"/>
      <c r="AA18" s="105"/>
      <c r="AB18" s="105" t="s">
        <v>141</v>
      </c>
      <c r="AC18" s="105" t="s">
        <v>141</v>
      </c>
      <c r="AD18" s="96"/>
      <c r="AE18" s="96" t="n">
        <f aca="false">M18</f>
        <v>0</v>
      </c>
      <c r="AF18" s="96" t="n">
        <f aca="false">N18</f>
        <v>0</v>
      </c>
      <c r="AG18" s="31" t="n">
        <v>0</v>
      </c>
      <c r="AH18" s="31" t="n">
        <v>0</v>
      </c>
      <c r="AI18" s="31" t="n">
        <v>0</v>
      </c>
      <c r="AJ18" s="31" t="n">
        <v>0</v>
      </c>
      <c r="AK18" s="60" t="s">
        <v>135</v>
      </c>
      <c r="AL18" s="60" t="s">
        <v>136</v>
      </c>
      <c r="AM18" s="60" t="s">
        <v>137</v>
      </c>
      <c r="AN18" s="60" t="s">
        <v>138</v>
      </c>
    </row>
    <row r="19" customFormat="false" ht="15" hidden="false" customHeight="false" outlineLevel="0" collapsed="false">
      <c r="A19" s="1" t="n">
        <v>16</v>
      </c>
      <c r="B19" s="1" t="s">
        <v>172</v>
      </c>
      <c r="C19" s="1" t="s">
        <v>144</v>
      </c>
      <c r="D19" s="1" t="n">
        <v>6</v>
      </c>
      <c r="E19" s="78" t="str">
        <f aca="false">IF(D19&gt;8,"2 de 30h","1 de 44h")</f>
        <v>1 de 44h</v>
      </c>
      <c r="F19" s="95"/>
      <c r="G19" s="1" t="n">
        <v>1</v>
      </c>
      <c r="H19" s="60"/>
      <c r="I19" s="60"/>
      <c r="J19" s="60" t="n">
        <v>1</v>
      </c>
      <c r="K19" s="78" t="n">
        <v>0</v>
      </c>
      <c r="L19" s="60" t="n">
        <f aca="false">K19/4</f>
        <v>0</v>
      </c>
      <c r="M19" s="60" t="n">
        <f aca="false">I19+L19</f>
        <v>0</v>
      </c>
      <c r="N19" s="60" t="n">
        <f aca="false">J19</f>
        <v>1</v>
      </c>
      <c r="O19" s="1" t="s">
        <v>129</v>
      </c>
      <c r="P19" s="1" t="s">
        <v>130</v>
      </c>
      <c r="Q19" s="1" t="s">
        <v>131</v>
      </c>
      <c r="R19" s="1" t="s">
        <v>141</v>
      </c>
      <c r="S19" s="1" t="n">
        <v>4050</v>
      </c>
      <c r="T19" s="97"/>
      <c r="U19" s="97"/>
      <c r="V19" s="98" t="n">
        <v>44932</v>
      </c>
      <c r="W19" s="98"/>
      <c r="X19" s="98" t="s">
        <v>173</v>
      </c>
      <c r="Y19" s="99"/>
      <c r="Z19" s="101"/>
      <c r="AA19" s="101"/>
      <c r="AB19" s="101" t="n">
        <v>1</v>
      </c>
      <c r="AC19" s="101" t="n">
        <v>1</v>
      </c>
      <c r="AD19" s="60"/>
      <c r="AE19" s="60" t="n">
        <f aca="false">M19</f>
        <v>0</v>
      </c>
      <c r="AF19" s="60" t="n">
        <f aca="false">N19</f>
        <v>1</v>
      </c>
      <c r="AG19" s="102" t="n">
        <v>0</v>
      </c>
      <c r="AH19" s="102" t="n">
        <v>0</v>
      </c>
      <c r="AI19" s="102" t="n">
        <v>0</v>
      </c>
      <c r="AJ19" s="102" t="n">
        <v>1</v>
      </c>
      <c r="AK19" s="60" t="s">
        <v>135</v>
      </c>
      <c r="AL19" s="60" t="s">
        <v>136</v>
      </c>
      <c r="AM19" s="60" t="s">
        <v>137</v>
      </c>
      <c r="AN19" s="60" t="s">
        <v>138</v>
      </c>
    </row>
    <row r="20" customFormat="false" ht="15" hidden="false" customHeight="false" outlineLevel="0" collapsed="false">
      <c r="A20" s="1" t="n">
        <v>17</v>
      </c>
      <c r="B20" s="1" t="s">
        <v>174</v>
      </c>
      <c r="C20" s="1" t="s">
        <v>144</v>
      </c>
      <c r="D20" s="1" t="n">
        <v>6</v>
      </c>
      <c r="E20" s="78" t="str">
        <f aca="false">IF(D20&gt;8,"2 de 30h","1 de 44h")</f>
        <v>1 de 44h</v>
      </c>
      <c r="F20" s="95"/>
      <c r="G20" s="1" t="n">
        <v>1</v>
      </c>
      <c r="H20" s="96"/>
      <c r="I20" s="96"/>
      <c r="J20" s="96" t="n">
        <v>1</v>
      </c>
      <c r="K20" s="78" t="n">
        <v>0</v>
      </c>
      <c r="L20" s="96" t="n">
        <f aca="false">K20/4</f>
        <v>0</v>
      </c>
      <c r="M20" s="96" t="n">
        <f aca="false">I20+L20</f>
        <v>0</v>
      </c>
      <c r="N20" s="96" t="n">
        <f aca="false">J20</f>
        <v>1</v>
      </c>
      <c r="O20" s="1" t="s">
        <v>129</v>
      </c>
      <c r="P20" s="1" t="s">
        <v>130</v>
      </c>
      <c r="Q20" s="1" t="s">
        <v>131</v>
      </c>
      <c r="R20" s="1" t="s">
        <v>141</v>
      </c>
      <c r="S20" s="1" t="n">
        <v>2673</v>
      </c>
      <c r="T20" s="97"/>
      <c r="U20" s="97"/>
      <c r="V20" s="98" t="n">
        <v>22220</v>
      </c>
      <c r="W20" s="98"/>
      <c r="X20" s="98" t="s">
        <v>175</v>
      </c>
      <c r="Y20" s="99"/>
      <c r="Z20" s="100"/>
      <c r="AA20" s="100"/>
      <c r="AB20" s="100" t="n">
        <v>1</v>
      </c>
      <c r="AC20" s="100" t="n">
        <v>1</v>
      </c>
      <c r="AD20" s="96"/>
      <c r="AE20" s="96" t="n">
        <f aca="false">M20</f>
        <v>0</v>
      </c>
      <c r="AF20" s="96" t="n">
        <f aca="false">N20</f>
        <v>1</v>
      </c>
      <c r="AG20" s="31" t="n">
        <v>0</v>
      </c>
      <c r="AH20" s="31" t="n">
        <v>0</v>
      </c>
      <c r="AI20" s="31" t="n">
        <v>0</v>
      </c>
      <c r="AJ20" s="31" t="n">
        <v>1</v>
      </c>
      <c r="AK20" s="60" t="s">
        <v>135</v>
      </c>
      <c r="AL20" s="60" t="s">
        <v>136</v>
      </c>
      <c r="AM20" s="60" t="s">
        <v>137</v>
      </c>
      <c r="AN20" s="60" t="s">
        <v>138</v>
      </c>
    </row>
    <row r="21" customFormat="false" ht="15" hidden="false" customHeight="false" outlineLevel="0" collapsed="false">
      <c r="A21" s="1" t="n">
        <v>18</v>
      </c>
      <c r="B21" s="1" t="s">
        <v>176</v>
      </c>
      <c r="C21" s="1" t="s">
        <v>144</v>
      </c>
      <c r="D21" s="1" t="n">
        <v>6</v>
      </c>
      <c r="E21" s="78" t="str">
        <f aca="false">IF(D21&gt;8,"2 de 30h","1 de 44h")</f>
        <v>1 de 44h</v>
      </c>
      <c r="F21" s="95"/>
      <c r="G21" s="1" t="n">
        <v>1</v>
      </c>
      <c r="H21" s="60"/>
      <c r="I21" s="60"/>
      <c r="J21" s="60" t="n">
        <v>1</v>
      </c>
      <c r="K21" s="78" t="n">
        <v>0</v>
      </c>
      <c r="L21" s="60" t="n">
        <f aca="false">K21/4</f>
        <v>0</v>
      </c>
      <c r="M21" s="60" t="n">
        <f aca="false">I21+L21</f>
        <v>0</v>
      </c>
      <c r="N21" s="60" t="n">
        <f aca="false">J21</f>
        <v>1</v>
      </c>
      <c r="O21" s="1" t="s">
        <v>129</v>
      </c>
      <c r="P21" s="1" t="s">
        <v>130</v>
      </c>
      <c r="Q21" s="1" t="s">
        <v>131</v>
      </c>
      <c r="R21" s="1" t="s">
        <v>141</v>
      </c>
      <c r="S21" s="1" t="n">
        <v>3067</v>
      </c>
      <c r="T21" s="97"/>
      <c r="U21" s="97"/>
      <c r="V21" s="98" t="n">
        <v>23887</v>
      </c>
      <c r="W21" s="98"/>
      <c r="X21" s="98" t="s">
        <v>177</v>
      </c>
      <c r="Y21" s="99"/>
      <c r="Z21" s="101"/>
      <c r="AA21" s="101"/>
      <c r="AB21" s="101" t="n">
        <v>2</v>
      </c>
      <c r="AC21" s="101"/>
      <c r="AD21" s="60"/>
      <c r="AE21" s="60" t="n">
        <f aca="false">M21</f>
        <v>0</v>
      </c>
      <c r="AF21" s="60" t="n">
        <f aca="false">N21</f>
        <v>1</v>
      </c>
      <c r="AG21" s="102" t="n">
        <v>0</v>
      </c>
      <c r="AH21" s="102" t="n">
        <v>0</v>
      </c>
      <c r="AI21" s="102" t="n">
        <v>0</v>
      </c>
      <c r="AJ21" s="102" t="n">
        <v>1</v>
      </c>
      <c r="AK21" s="60" t="s">
        <v>135</v>
      </c>
      <c r="AL21" s="60" t="s">
        <v>136</v>
      </c>
      <c r="AM21" s="60" t="s">
        <v>137</v>
      </c>
      <c r="AN21" s="60" t="s">
        <v>138</v>
      </c>
    </row>
    <row r="22" customFormat="false" ht="9" hidden="false" customHeight="true" outlineLevel="0" collapsed="false">
      <c r="A22" s="106"/>
      <c r="B22" s="106"/>
      <c r="C22" s="106"/>
      <c r="D22" s="106"/>
      <c r="E22" s="107"/>
      <c r="F22" s="107"/>
      <c r="G22" s="106"/>
      <c r="H22" s="108"/>
      <c r="I22" s="108"/>
      <c r="J22" s="108"/>
      <c r="K22" s="107"/>
      <c r="L22" s="108"/>
      <c r="M22" s="108"/>
      <c r="N22" s="108"/>
      <c r="O22" s="106"/>
      <c r="P22" s="106"/>
      <c r="Q22" s="106"/>
      <c r="R22" s="106"/>
      <c r="S22" s="106"/>
      <c r="T22" s="109"/>
      <c r="U22" s="109"/>
      <c r="V22" s="109"/>
      <c r="W22" s="109"/>
      <c r="X22" s="109"/>
      <c r="Y22" s="109"/>
      <c r="Z22" s="110"/>
      <c r="AA22" s="110"/>
      <c r="AB22" s="110"/>
      <c r="AC22" s="110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</row>
    <row r="23" customFormat="false" ht="15" hidden="false" customHeight="false" outlineLevel="0" collapsed="false">
      <c r="A23" s="1" t="n">
        <v>1</v>
      </c>
      <c r="B23" s="1" t="s">
        <v>178</v>
      </c>
      <c r="C23" s="1" t="s">
        <v>140</v>
      </c>
      <c r="F23" s="95"/>
      <c r="G23" s="1" t="n">
        <v>1</v>
      </c>
      <c r="H23" s="60" t="n">
        <v>1</v>
      </c>
      <c r="I23" s="60"/>
      <c r="J23" s="60"/>
      <c r="K23" s="78" t="n">
        <v>0</v>
      </c>
      <c r="L23" s="60" t="n">
        <f aca="false">ROUNDUP(K23/4,0)</f>
        <v>0</v>
      </c>
      <c r="M23" s="60" t="n">
        <f aca="false">I23+L23</f>
        <v>0</v>
      </c>
      <c r="N23" s="60" t="n">
        <f aca="false">J23</f>
        <v>0</v>
      </c>
      <c r="O23" s="1" t="s">
        <v>179</v>
      </c>
      <c r="P23" s="1" t="s">
        <v>130</v>
      </c>
      <c r="Q23" s="1" t="s">
        <v>179</v>
      </c>
      <c r="R23" s="1" t="s">
        <v>179</v>
      </c>
      <c r="S23" s="1" t="n">
        <v>225256</v>
      </c>
      <c r="T23" s="97"/>
      <c r="U23" s="97" t="s">
        <v>180</v>
      </c>
      <c r="V23" s="98" t="n">
        <v>286205</v>
      </c>
      <c r="W23" s="98" t="s">
        <v>181</v>
      </c>
      <c r="X23" s="98" t="s">
        <v>182</v>
      </c>
      <c r="Y23" s="99" t="s">
        <v>132</v>
      </c>
      <c r="Z23" s="101"/>
      <c r="AA23" s="101"/>
      <c r="AB23" s="101" t="n">
        <v>2</v>
      </c>
      <c r="AC23" s="101"/>
      <c r="AD23" s="60" t="n">
        <f aca="false">H23</f>
        <v>1</v>
      </c>
      <c r="AE23" s="60" t="n">
        <f aca="false">M23</f>
        <v>0</v>
      </c>
      <c r="AF23" s="60" t="n">
        <f aca="false">N23</f>
        <v>0</v>
      </c>
      <c r="AG23" s="102" t="n">
        <v>1</v>
      </c>
      <c r="AH23" s="102" t="n">
        <v>0</v>
      </c>
      <c r="AI23" s="102" t="n">
        <v>0</v>
      </c>
      <c r="AJ23" s="102" t="n">
        <v>0</v>
      </c>
      <c r="AK23" s="60" t="s">
        <v>135</v>
      </c>
      <c r="AL23" s="60" t="s">
        <v>136</v>
      </c>
      <c r="AM23" s="60" t="s">
        <v>137</v>
      </c>
      <c r="AN23" s="60" t="s">
        <v>138</v>
      </c>
    </row>
    <row r="24" customFormat="false" ht="15" hidden="false" customHeight="false" outlineLevel="0" collapsed="false">
      <c r="A24" s="1" t="n">
        <v>2</v>
      </c>
      <c r="B24" s="1" t="s">
        <v>183</v>
      </c>
      <c r="C24" s="1" t="s">
        <v>184</v>
      </c>
      <c r="D24" s="1" t="n">
        <v>10</v>
      </c>
      <c r="E24" s="78" t="str">
        <f aca="false">IF(D24&gt;8,"2 de 30h","1 de 44h")</f>
        <v>2 de 30h</v>
      </c>
      <c r="F24" s="95"/>
      <c r="G24" s="1" t="n">
        <v>1</v>
      </c>
      <c r="H24" s="96"/>
      <c r="I24" s="96" t="n">
        <v>2</v>
      </c>
      <c r="J24" s="96"/>
      <c r="K24" s="78" t="n">
        <v>1</v>
      </c>
      <c r="L24" s="96" t="n">
        <f aca="false">ROUNDUP(K24/4,0)</f>
        <v>1</v>
      </c>
      <c r="M24" s="96" t="n">
        <f aca="false">I24+L24</f>
        <v>3</v>
      </c>
      <c r="N24" s="96" t="n">
        <f aca="false">J24</f>
        <v>0</v>
      </c>
      <c r="O24" s="1" t="s">
        <v>179</v>
      </c>
      <c r="P24" s="1" t="s">
        <v>185</v>
      </c>
      <c r="Q24" s="1" t="s">
        <v>186</v>
      </c>
      <c r="R24" s="1" t="s">
        <v>186</v>
      </c>
      <c r="S24" s="1" t="n">
        <v>4242</v>
      </c>
      <c r="T24" s="97"/>
      <c r="U24" s="97"/>
      <c r="V24" s="98" t="n">
        <v>33025</v>
      </c>
      <c r="W24" s="98"/>
      <c r="X24" s="98" t="s">
        <v>187</v>
      </c>
      <c r="Y24" s="99"/>
      <c r="Z24" s="100"/>
      <c r="AA24" s="100"/>
      <c r="AB24" s="100" t="n">
        <v>2</v>
      </c>
      <c r="AC24" s="100"/>
      <c r="AD24" s="96"/>
      <c r="AE24" s="96" t="n">
        <f aca="false">M24</f>
        <v>3</v>
      </c>
      <c r="AF24" s="96" t="n">
        <f aca="false">N24</f>
        <v>0</v>
      </c>
      <c r="AG24" s="31" t="n">
        <v>0</v>
      </c>
      <c r="AH24" s="31" t="n">
        <v>0</v>
      </c>
      <c r="AI24" s="31" t="n">
        <v>3</v>
      </c>
      <c r="AJ24" s="31" t="n">
        <v>0</v>
      </c>
      <c r="AK24" s="60" t="s">
        <v>135</v>
      </c>
      <c r="AL24" s="60" t="s">
        <v>136</v>
      </c>
      <c r="AM24" s="60" t="s">
        <v>137</v>
      </c>
      <c r="AN24" s="60" t="s">
        <v>138</v>
      </c>
    </row>
    <row r="25" customFormat="false" ht="15" hidden="false" customHeight="false" outlineLevel="0" collapsed="false">
      <c r="A25" s="1" t="n">
        <v>3</v>
      </c>
      <c r="B25" s="1" t="s">
        <v>188</v>
      </c>
      <c r="C25" s="1" t="s">
        <v>184</v>
      </c>
      <c r="D25" s="1" t="n">
        <v>10</v>
      </c>
      <c r="E25" s="78" t="str">
        <f aca="false">IF(D25&gt;8,"2 de 30h","1 de 44h")</f>
        <v>2 de 30h</v>
      </c>
      <c r="F25" s="95"/>
      <c r="G25" s="1" t="n">
        <v>1</v>
      </c>
      <c r="H25" s="60"/>
      <c r="I25" s="60" t="n">
        <v>2</v>
      </c>
      <c r="J25" s="60"/>
      <c r="K25" s="78" t="n">
        <v>8</v>
      </c>
      <c r="L25" s="60" t="n">
        <f aca="false">K25/4</f>
        <v>2</v>
      </c>
      <c r="M25" s="60" t="n">
        <f aca="false">I25+L25</f>
        <v>4</v>
      </c>
      <c r="N25" s="60" t="n">
        <f aca="false">J25</f>
        <v>0</v>
      </c>
      <c r="O25" s="1" t="s">
        <v>179</v>
      </c>
      <c r="P25" s="1" t="s">
        <v>130</v>
      </c>
      <c r="Q25" s="1" t="s">
        <v>179</v>
      </c>
      <c r="R25" s="1" t="s">
        <v>179</v>
      </c>
      <c r="S25" s="1" t="n">
        <v>43371</v>
      </c>
      <c r="T25" s="97"/>
      <c r="U25" s="97"/>
      <c r="V25" s="98"/>
      <c r="W25" s="98"/>
      <c r="X25" s="98"/>
      <c r="Y25" s="99"/>
      <c r="Z25" s="101"/>
      <c r="AA25" s="101"/>
      <c r="AB25" s="101" t="n">
        <v>2</v>
      </c>
      <c r="AC25" s="101" t="n">
        <v>2</v>
      </c>
      <c r="AD25" s="60"/>
      <c r="AE25" s="60" t="n">
        <f aca="false">M25</f>
        <v>4</v>
      </c>
      <c r="AF25" s="60" t="n">
        <f aca="false">N25</f>
        <v>0</v>
      </c>
      <c r="AG25" s="102" t="n">
        <v>0</v>
      </c>
      <c r="AH25" s="102" t="n">
        <v>0</v>
      </c>
      <c r="AI25" s="102" t="n">
        <v>4</v>
      </c>
      <c r="AJ25" s="102" t="n">
        <v>0</v>
      </c>
      <c r="AK25" s="60" t="s">
        <v>135</v>
      </c>
      <c r="AL25" s="60" t="s">
        <v>136</v>
      </c>
      <c r="AM25" s="60" t="s">
        <v>137</v>
      </c>
      <c r="AN25" s="60" t="s">
        <v>138</v>
      </c>
    </row>
    <row r="26" customFormat="false" ht="15" hidden="false" customHeight="false" outlineLevel="0" collapsed="false">
      <c r="A26" s="1" t="n">
        <v>4</v>
      </c>
      <c r="B26" s="1" t="s">
        <v>189</v>
      </c>
      <c r="C26" s="1" t="s">
        <v>190</v>
      </c>
      <c r="D26" s="1" t="n">
        <v>11</v>
      </c>
      <c r="E26" s="78" t="str">
        <f aca="false">IF(D26&gt;8,"2 de 30h","1 de 44h")</f>
        <v>2 de 30h</v>
      </c>
      <c r="F26" s="95"/>
      <c r="G26" s="1" t="n">
        <v>2</v>
      </c>
      <c r="H26" s="96"/>
      <c r="I26" s="96" t="n">
        <v>4</v>
      </c>
      <c r="J26" s="96"/>
      <c r="K26" s="78" t="n">
        <v>4</v>
      </c>
      <c r="L26" s="96" t="n">
        <f aca="false">K26/4</f>
        <v>1</v>
      </c>
      <c r="M26" s="96" t="n">
        <f aca="false">I26+L26</f>
        <v>5</v>
      </c>
      <c r="N26" s="96" t="n">
        <f aca="false">J26</f>
        <v>0</v>
      </c>
      <c r="O26" s="1" t="s">
        <v>179</v>
      </c>
      <c r="P26" s="1" t="s">
        <v>185</v>
      </c>
      <c r="Q26" s="1" t="s">
        <v>186</v>
      </c>
      <c r="R26" s="1" t="s">
        <v>186</v>
      </c>
      <c r="S26" s="1" t="n">
        <v>32098</v>
      </c>
      <c r="T26" s="97"/>
      <c r="U26" s="97"/>
      <c r="V26" s="98" t="n">
        <v>256088</v>
      </c>
      <c r="W26" s="98" t="n">
        <v>36</v>
      </c>
      <c r="X26" s="98" t="s">
        <v>168</v>
      </c>
      <c r="Y26" s="99" t="s">
        <v>132</v>
      </c>
      <c r="Z26" s="100"/>
      <c r="AA26" s="100"/>
      <c r="AB26" s="100" t="n">
        <v>2</v>
      </c>
      <c r="AC26" s="100" t="n">
        <v>2</v>
      </c>
      <c r="AD26" s="96"/>
      <c r="AE26" s="96" t="n">
        <f aca="false">M26</f>
        <v>5</v>
      </c>
      <c r="AF26" s="96" t="n">
        <f aca="false">N26</f>
        <v>0</v>
      </c>
      <c r="AG26" s="31" t="n">
        <v>0</v>
      </c>
      <c r="AH26" s="31" t="n">
        <v>0</v>
      </c>
      <c r="AI26" s="31" t="n">
        <v>5</v>
      </c>
      <c r="AJ26" s="31" t="n">
        <v>0</v>
      </c>
      <c r="AK26" s="60" t="s">
        <v>135</v>
      </c>
      <c r="AL26" s="60" t="s">
        <v>136</v>
      </c>
      <c r="AM26" s="60" t="s">
        <v>137</v>
      </c>
      <c r="AN26" s="60" t="s">
        <v>138</v>
      </c>
    </row>
    <row r="27" customFormat="false" ht="15" hidden="false" customHeight="false" outlineLevel="0" collapsed="false">
      <c r="A27" s="1" t="n">
        <v>5</v>
      </c>
      <c r="B27" s="1" t="s">
        <v>191</v>
      </c>
      <c r="C27" s="1" t="s">
        <v>184</v>
      </c>
      <c r="D27" s="1" t="n">
        <v>10</v>
      </c>
      <c r="E27" s="78" t="str">
        <f aca="false">IF(D27&gt;8,"2 de 30h","1 de 44h")</f>
        <v>2 de 30h</v>
      </c>
      <c r="F27" s="95"/>
      <c r="G27" s="1" t="n">
        <v>2</v>
      </c>
      <c r="H27" s="60"/>
      <c r="I27" s="60" t="n">
        <v>4</v>
      </c>
      <c r="J27" s="60"/>
      <c r="K27" s="78" t="n">
        <v>3</v>
      </c>
      <c r="L27" s="60" t="n">
        <f aca="false">ROUNDUP(K27/4,0)</f>
        <v>1</v>
      </c>
      <c r="M27" s="60" t="n">
        <f aca="false">I27+L27</f>
        <v>5</v>
      </c>
      <c r="N27" s="60" t="n">
        <f aca="false">J27</f>
        <v>0</v>
      </c>
      <c r="O27" s="1" t="s">
        <v>179</v>
      </c>
      <c r="P27" s="1" t="s">
        <v>130</v>
      </c>
      <c r="Q27" s="1" t="s">
        <v>179</v>
      </c>
      <c r="R27" s="1" t="s">
        <v>179</v>
      </c>
      <c r="S27" s="1" t="n">
        <v>21677</v>
      </c>
      <c r="T27" s="97"/>
      <c r="U27" s="97"/>
      <c r="V27" s="98" t="n">
        <v>78943</v>
      </c>
      <c r="W27" s="98"/>
      <c r="X27" s="98" t="s">
        <v>192</v>
      </c>
      <c r="Y27" s="99"/>
      <c r="Z27" s="101"/>
      <c r="AA27" s="101"/>
      <c r="AB27" s="101" t="n">
        <v>2</v>
      </c>
      <c r="AC27" s="101" t="n">
        <v>2</v>
      </c>
      <c r="AD27" s="60"/>
      <c r="AE27" s="60" t="n">
        <f aca="false">M27</f>
        <v>5</v>
      </c>
      <c r="AF27" s="60" t="n">
        <f aca="false">N27</f>
        <v>0</v>
      </c>
      <c r="AG27" s="102" t="n">
        <v>0</v>
      </c>
      <c r="AH27" s="102" t="n">
        <v>0</v>
      </c>
      <c r="AI27" s="102" t="n">
        <v>5</v>
      </c>
      <c r="AJ27" s="102" t="n">
        <v>0</v>
      </c>
      <c r="AK27" s="60" t="s">
        <v>135</v>
      </c>
      <c r="AL27" s="60" t="s">
        <v>136</v>
      </c>
      <c r="AM27" s="60" t="s">
        <v>137</v>
      </c>
      <c r="AN27" s="60" t="s">
        <v>138</v>
      </c>
    </row>
    <row r="28" customFormat="false" ht="15" hidden="false" customHeight="false" outlineLevel="0" collapsed="false">
      <c r="A28" s="1" t="n">
        <v>6</v>
      </c>
      <c r="B28" s="1" t="s">
        <v>193</v>
      </c>
      <c r="C28" s="1" t="s">
        <v>184</v>
      </c>
      <c r="D28" s="1" t="n">
        <v>10</v>
      </c>
      <c r="E28" s="78" t="str">
        <f aca="false">IF(D28&gt;8,"2 de 30h","1 de 44h")</f>
        <v>2 de 30h</v>
      </c>
      <c r="F28" s="95"/>
      <c r="G28" s="1" t="n">
        <v>1</v>
      </c>
      <c r="H28" s="96"/>
      <c r="I28" s="96" t="n">
        <v>2</v>
      </c>
      <c r="J28" s="96"/>
      <c r="K28" s="78" t="n">
        <v>2</v>
      </c>
      <c r="L28" s="96" t="n">
        <f aca="false">ROUNDUP(K28/4,0)</f>
        <v>1</v>
      </c>
      <c r="M28" s="96" t="n">
        <f aca="false">I28+L28</f>
        <v>3</v>
      </c>
      <c r="N28" s="96" t="n">
        <f aca="false">J28</f>
        <v>0</v>
      </c>
      <c r="O28" s="1" t="s">
        <v>186</v>
      </c>
      <c r="P28" s="1" t="s">
        <v>186</v>
      </c>
      <c r="Q28" s="1" t="s">
        <v>186</v>
      </c>
      <c r="R28" s="1" t="s">
        <v>186</v>
      </c>
      <c r="S28" s="1" t="n">
        <v>17055</v>
      </c>
      <c r="T28" s="97"/>
      <c r="U28" s="97"/>
      <c r="V28" s="98" t="n">
        <v>41817</v>
      </c>
      <c r="W28" s="98"/>
      <c r="X28" s="98" t="s">
        <v>194</v>
      </c>
      <c r="Y28" s="99"/>
      <c r="Z28" s="100"/>
      <c r="AA28" s="100"/>
      <c r="AB28" s="100" t="n">
        <v>3</v>
      </c>
      <c r="AC28" s="100"/>
      <c r="AD28" s="96"/>
      <c r="AE28" s="96" t="n">
        <f aca="false">M28</f>
        <v>3</v>
      </c>
      <c r="AF28" s="96" t="n">
        <f aca="false">N28</f>
        <v>0</v>
      </c>
      <c r="AG28" s="31" t="n">
        <v>0</v>
      </c>
      <c r="AH28" s="31" t="n">
        <v>0</v>
      </c>
      <c r="AI28" s="31" t="n">
        <v>3</v>
      </c>
      <c r="AJ28" s="31" t="n">
        <v>0</v>
      </c>
      <c r="AK28" s="60" t="s">
        <v>135</v>
      </c>
      <c r="AL28" s="60" t="s">
        <v>136</v>
      </c>
      <c r="AM28" s="60" t="s">
        <v>137</v>
      </c>
      <c r="AN28" s="60" t="s">
        <v>138</v>
      </c>
    </row>
    <row r="29" customFormat="false" ht="15" hidden="false" customHeight="false" outlineLevel="0" collapsed="false">
      <c r="A29" s="1" t="n">
        <v>7</v>
      </c>
      <c r="B29" s="1" t="s">
        <v>195</v>
      </c>
      <c r="C29" s="1" t="s">
        <v>184</v>
      </c>
      <c r="D29" s="1" t="n">
        <v>10</v>
      </c>
      <c r="E29" s="78" t="str">
        <f aca="false">IF(D29&gt;8,"2 de 30h","1 de 44h")</f>
        <v>2 de 30h</v>
      </c>
      <c r="F29" s="95"/>
      <c r="G29" s="1" t="n">
        <v>1</v>
      </c>
      <c r="H29" s="60"/>
      <c r="I29" s="60" t="n">
        <v>2</v>
      </c>
      <c r="J29" s="60"/>
      <c r="K29" s="78" t="n">
        <v>6</v>
      </c>
      <c r="L29" s="60" t="n">
        <f aca="false">ROUNDUP(K29/4,0)</f>
        <v>2</v>
      </c>
      <c r="M29" s="60" t="n">
        <f aca="false">I29+L29</f>
        <v>4</v>
      </c>
      <c r="N29" s="60" t="n">
        <f aca="false">J29</f>
        <v>0</v>
      </c>
      <c r="O29" s="1" t="s">
        <v>179</v>
      </c>
      <c r="P29" s="1" t="s">
        <v>130</v>
      </c>
      <c r="Q29" s="1" t="s">
        <v>179</v>
      </c>
      <c r="R29" s="1" t="s">
        <v>179</v>
      </c>
      <c r="S29" s="1" t="n">
        <v>23097</v>
      </c>
      <c r="T29" s="97"/>
      <c r="U29" s="97"/>
      <c r="V29" s="98" t="n">
        <v>72370</v>
      </c>
      <c r="W29" s="98"/>
      <c r="X29" s="98" t="s">
        <v>182</v>
      </c>
      <c r="Y29" s="99"/>
      <c r="Z29" s="101"/>
      <c r="AA29" s="101"/>
      <c r="AB29" s="101" t="n">
        <v>2</v>
      </c>
      <c r="AC29" s="101" t="n">
        <v>2</v>
      </c>
      <c r="AD29" s="60"/>
      <c r="AE29" s="60" t="n">
        <f aca="false">M29</f>
        <v>4</v>
      </c>
      <c r="AF29" s="60" t="n">
        <f aca="false">N29</f>
        <v>0</v>
      </c>
      <c r="AG29" s="102" t="n">
        <v>0</v>
      </c>
      <c r="AH29" s="102" t="n">
        <v>0</v>
      </c>
      <c r="AI29" s="102" t="n">
        <v>4</v>
      </c>
      <c r="AJ29" s="102" t="n">
        <v>0</v>
      </c>
      <c r="AK29" s="60" t="s">
        <v>135</v>
      </c>
      <c r="AL29" s="60" t="s">
        <v>136</v>
      </c>
      <c r="AM29" s="60" t="s">
        <v>137</v>
      </c>
      <c r="AN29" s="60" t="s">
        <v>138</v>
      </c>
    </row>
    <row r="30" customFormat="false" ht="15" hidden="false" customHeight="false" outlineLevel="0" collapsed="false">
      <c r="A30" s="1" t="n">
        <v>8</v>
      </c>
      <c r="B30" s="1" t="s">
        <v>196</v>
      </c>
      <c r="C30" s="1" t="s">
        <v>197</v>
      </c>
      <c r="D30" s="1" t="n">
        <v>10</v>
      </c>
      <c r="E30" s="78" t="str">
        <f aca="false">IF(D30&gt;8,"2 de 30h","1 de 44h")</f>
        <v>2 de 30h</v>
      </c>
      <c r="F30" s="95"/>
      <c r="G30" s="1" t="n">
        <v>1</v>
      </c>
      <c r="H30" s="96"/>
      <c r="I30" s="96" t="n">
        <v>2</v>
      </c>
      <c r="J30" s="96"/>
      <c r="K30" s="78" t="n">
        <v>0</v>
      </c>
      <c r="L30" s="96" t="n">
        <f aca="false">K30/4</f>
        <v>0</v>
      </c>
      <c r="M30" s="96" t="n">
        <f aca="false">I30+L30</f>
        <v>2</v>
      </c>
      <c r="N30" s="96" t="n">
        <f aca="false">J30</f>
        <v>0</v>
      </c>
      <c r="O30" s="1" t="s">
        <v>186</v>
      </c>
      <c r="P30" s="1" t="s">
        <v>186</v>
      </c>
      <c r="Q30" s="1" t="s">
        <v>186</v>
      </c>
      <c r="R30" s="1" t="s">
        <v>186</v>
      </c>
      <c r="T30" s="97"/>
      <c r="U30" s="97"/>
      <c r="V30" s="98" t="n">
        <v>16338</v>
      </c>
      <c r="W30" s="98"/>
      <c r="X30" s="98" t="s">
        <v>198</v>
      </c>
      <c r="Y30" s="99"/>
      <c r="Z30" s="100"/>
      <c r="AA30" s="100"/>
      <c r="AB30" s="100" t="n">
        <v>2</v>
      </c>
      <c r="AC30" s="100"/>
      <c r="AD30" s="96"/>
      <c r="AE30" s="96" t="n">
        <f aca="false">M30</f>
        <v>2</v>
      </c>
      <c r="AF30" s="96" t="n">
        <f aca="false">N30</f>
        <v>0</v>
      </c>
      <c r="AG30" s="31" t="n">
        <v>0</v>
      </c>
      <c r="AH30" s="31" t="n">
        <v>0</v>
      </c>
      <c r="AI30" s="31" t="n">
        <v>2</v>
      </c>
      <c r="AJ30" s="31" t="n">
        <v>0</v>
      </c>
      <c r="AK30" s="60" t="s">
        <v>135</v>
      </c>
      <c r="AL30" s="60" t="s">
        <v>136</v>
      </c>
      <c r="AM30" s="60" t="s">
        <v>137</v>
      </c>
      <c r="AN30" s="60" t="s">
        <v>138</v>
      </c>
    </row>
    <row r="31" customFormat="false" ht="15" hidden="false" customHeight="false" outlineLevel="0" collapsed="false">
      <c r="A31" s="1" t="n">
        <v>9</v>
      </c>
      <c r="B31" s="1" t="s">
        <v>199</v>
      </c>
      <c r="C31" s="1" t="s">
        <v>184</v>
      </c>
      <c r="D31" s="1" t="n">
        <v>10</v>
      </c>
      <c r="E31" s="78" t="str">
        <f aca="false">IF(D31&gt;8,"2 de 30h","1 de 44h")</f>
        <v>2 de 30h</v>
      </c>
      <c r="F31" s="95"/>
      <c r="G31" s="1" t="n">
        <v>1</v>
      </c>
      <c r="H31" s="60"/>
      <c r="I31" s="60" t="n">
        <v>2</v>
      </c>
      <c r="J31" s="60"/>
      <c r="K31" s="78" t="n">
        <v>5</v>
      </c>
      <c r="L31" s="60" t="n">
        <f aca="false">ROUNDUP(K31/4,0)</f>
        <v>2</v>
      </c>
      <c r="M31" s="60" t="n">
        <f aca="false">I31+L31</f>
        <v>4</v>
      </c>
      <c r="N31" s="60" t="n">
        <f aca="false">J31</f>
        <v>0</v>
      </c>
      <c r="O31" s="1" t="s">
        <v>179</v>
      </c>
      <c r="P31" s="1" t="s">
        <v>130</v>
      </c>
      <c r="Q31" s="1" t="s">
        <v>186</v>
      </c>
      <c r="R31" s="1" t="s">
        <v>179</v>
      </c>
      <c r="S31" s="1" t="n">
        <v>24220</v>
      </c>
      <c r="T31" s="97"/>
      <c r="U31" s="97"/>
      <c r="V31" s="98" t="n">
        <v>119313</v>
      </c>
      <c r="W31" s="98" t="s">
        <v>200</v>
      </c>
      <c r="X31" s="98" t="s">
        <v>201</v>
      </c>
      <c r="Y31" s="99"/>
      <c r="Z31" s="101"/>
      <c r="AA31" s="101"/>
      <c r="AB31" s="101" t="n">
        <v>4</v>
      </c>
      <c r="AC31" s="101"/>
      <c r="AD31" s="60"/>
      <c r="AE31" s="60" t="n">
        <f aca="false">M31</f>
        <v>4</v>
      </c>
      <c r="AF31" s="60" t="n">
        <f aca="false">N31</f>
        <v>0</v>
      </c>
      <c r="AG31" s="102" t="n">
        <v>0</v>
      </c>
      <c r="AH31" s="102" t="n">
        <v>0</v>
      </c>
      <c r="AI31" s="102" t="n">
        <v>4</v>
      </c>
      <c r="AJ31" s="102" t="n">
        <v>0</v>
      </c>
      <c r="AK31" s="60" t="s">
        <v>135</v>
      </c>
      <c r="AL31" s="60" t="s">
        <v>136</v>
      </c>
      <c r="AM31" s="60" t="s">
        <v>137</v>
      </c>
      <c r="AN31" s="60" t="s">
        <v>138</v>
      </c>
    </row>
    <row r="32" customFormat="false" ht="15" hidden="false" customHeight="false" outlineLevel="0" collapsed="false">
      <c r="A32" s="1" t="n">
        <v>10</v>
      </c>
      <c r="B32" s="1" t="s">
        <v>202</v>
      </c>
      <c r="C32" s="1" t="s">
        <v>203</v>
      </c>
      <c r="D32" s="1" t="n">
        <v>6</v>
      </c>
      <c r="E32" s="78" t="str">
        <f aca="false">IF(D32&gt;8,"2 de 30h","1 de 44h")</f>
        <v>1 de 44h</v>
      </c>
      <c r="F32" s="95"/>
      <c r="G32" s="1" t="n">
        <v>1</v>
      </c>
      <c r="H32" s="96"/>
      <c r="I32" s="96"/>
      <c r="J32" s="96" t="n">
        <v>1</v>
      </c>
      <c r="K32" s="78" t="n">
        <v>1</v>
      </c>
      <c r="L32" s="96" t="n">
        <f aca="false">ROUNDUP(K32/4,0)</f>
        <v>1</v>
      </c>
      <c r="M32" s="96" t="n">
        <f aca="false">I32+L32</f>
        <v>1</v>
      </c>
      <c r="N32" s="96" t="n">
        <f aca="false">J32</f>
        <v>1</v>
      </c>
      <c r="O32" s="1" t="s">
        <v>179</v>
      </c>
      <c r="P32" s="1" t="s">
        <v>130</v>
      </c>
      <c r="Q32" s="1" t="s">
        <v>179</v>
      </c>
      <c r="R32" s="1" t="s">
        <v>179</v>
      </c>
      <c r="S32" s="1" t="n">
        <v>7355</v>
      </c>
      <c r="T32" s="97"/>
      <c r="U32" s="97"/>
      <c r="V32" s="98" t="n">
        <v>30704</v>
      </c>
      <c r="W32" s="98"/>
      <c r="X32" s="98" t="s">
        <v>204</v>
      </c>
      <c r="Y32" s="99"/>
      <c r="Z32" s="100"/>
      <c r="AA32" s="100"/>
      <c r="AB32" s="100" t="n">
        <v>3</v>
      </c>
      <c r="AC32" s="100"/>
      <c r="AD32" s="96"/>
      <c r="AE32" s="96" t="n">
        <f aca="false">M32</f>
        <v>1</v>
      </c>
      <c r="AF32" s="96" t="n">
        <f aca="false">N32</f>
        <v>1</v>
      </c>
      <c r="AG32" s="31" t="n">
        <v>0</v>
      </c>
      <c r="AH32" s="31" t="n">
        <v>0</v>
      </c>
      <c r="AI32" s="31" t="n">
        <v>1</v>
      </c>
      <c r="AJ32" s="31" t="n">
        <v>1</v>
      </c>
      <c r="AK32" s="60" t="s">
        <v>135</v>
      </c>
      <c r="AL32" s="60" t="s">
        <v>136</v>
      </c>
      <c r="AM32" s="60" t="s">
        <v>137</v>
      </c>
      <c r="AN32" s="60" t="s">
        <v>138</v>
      </c>
    </row>
    <row r="33" customFormat="false" ht="15" hidden="false" customHeight="false" outlineLevel="0" collapsed="false">
      <c r="A33" s="1" t="n">
        <v>11</v>
      </c>
      <c r="B33" s="1" t="s">
        <v>205</v>
      </c>
      <c r="C33" s="1" t="s">
        <v>203</v>
      </c>
      <c r="D33" s="1" t="n">
        <v>6</v>
      </c>
      <c r="E33" s="78" t="str">
        <f aca="false">IF(D33&gt;8,"2 de 30h","1 de 44h")</f>
        <v>1 de 44h</v>
      </c>
      <c r="F33" s="95"/>
      <c r="G33" s="1" t="n">
        <v>1</v>
      </c>
      <c r="H33" s="60"/>
      <c r="I33" s="60"/>
      <c r="J33" s="60" t="n">
        <v>1</v>
      </c>
      <c r="K33" s="78" t="n">
        <v>0</v>
      </c>
      <c r="L33" s="60" t="n">
        <f aca="false">K33/4</f>
        <v>0</v>
      </c>
      <c r="M33" s="60" t="n">
        <f aca="false">I33+L33</f>
        <v>0</v>
      </c>
      <c r="N33" s="60" t="n">
        <f aca="false">J33</f>
        <v>1</v>
      </c>
      <c r="O33" s="1" t="s">
        <v>186</v>
      </c>
      <c r="P33" s="1" t="s">
        <v>186</v>
      </c>
      <c r="Q33" s="1" t="s">
        <v>186</v>
      </c>
      <c r="R33" s="1" t="s">
        <v>186</v>
      </c>
      <c r="S33" s="1" t="n">
        <v>3481</v>
      </c>
      <c r="T33" s="97"/>
      <c r="U33" s="97"/>
      <c r="V33" s="98" t="n">
        <v>17048</v>
      </c>
      <c r="W33" s="98"/>
      <c r="X33" s="98" t="s">
        <v>206</v>
      </c>
      <c r="Y33" s="99"/>
      <c r="Z33" s="101"/>
      <c r="AA33" s="101"/>
      <c r="AB33" s="101" t="n">
        <v>2</v>
      </c>
      <c r="AC33" s="101"/>
      <c r="AD33" s="60"/>
      <c r="AE33" s="60" t="n">
        <f aca="false">M33</f>
        <v>0</v>
      </c>
      <c r="AF33" s="60" t="n">
        <f aca="false">N33</f>
        <v>1</v>
      </c>
      <c r="AG33" s="102" t="n">
        <v>0</v>
      </c>
      <c r="AH33" s="102" t="n">
        <v>0</v>
      </c>
      <c r="AI33" s="102" t="n">
        <v>0</v>
      </c>
      <c r="AJ33" s="102" t="n">
        <v>1</v>
      </c>
      <c r="AK33" s="60" t="s">
        <v>135</v>
      </c>
      <c r="AL33" s="60" t="s">
        <v>136</v>
      </c>
      <c r="AM33" s="60" t="s">
        <v>137</v>
      </c>
      <c r="AN33" s="60" t="s">
        <v>138</v>
      </c>
    </row>
    <row r="34" customFormat="false" ht="15" hidden="false" customHeight="false" outlineLevel="0" collapsed="false">
      <c r="A34" s="1" t="n">
        <v>12</v>
      </c>
      <c r="B34" s="1" t="s">
        <v>207</v>
      </c>
      <c r="C34" s="1" t="s">
        <v>184</v>
      </c>
      <c r="D34" s="1" t="n">
        <v>10</v>
      </c>
      <c r="E34" s="78" t="str">
        <f aca="false">IF(D34&gt;8,"2 de 30h","1 de 44h")</f>
        <v>2 de 30h</v>
      </c>
      <c r="F34" s="95"/>
      <c r="G34" s="1" t="n">
        <v>1</v>
      </c>
      <c r="H34" s="96"/>
      <c r="I34" s="96" t="n">
        <v>2</v>
      </c>
      <c r="J34" s="96"/>
      <c r="K34" s="78" t="n">
        <v>2</v>
      </c>
      <c r="L34" s="96" t="n">
        <f aca="false">ROUNDUP(K34/4,0)</f>
        <v>1</v>
      </c>
      <c r="M34" s="96" t="n">
        <f aca="false">I34+L34</f>
        <v>3</v>
      </c>
      <c r="N34" s="96" t="n">
        <f aca="false">J34</f>
        <v>0</v>
      </c>
      <c r="O34" s="1" t="s">
        <v>179</v>
      </c>
      <c r="P34" s="1" t="s">
        <v>185</v>
      </c>
      <c r="Q34" s="1" t="s">
        <v>186</v>
      </c>
      <c r="R34" s="1" t="s">
        <v>179</v>
      </c>
      <c r="S34" s="1" t="n">
        <v>11786</v>
      </c>
      <c r="T34" s="97"/>
      <c r="U34" s="97"/>
      <c r="V34" s="98" t="n">
        <v>46819</v>
      </c>
      <c r="W34" s="98"/>
      <c r="X34" s="98" t="s">
        <v>192</v>
      </c>
      <c r="Y34" s="99"/>
      <c r="Z34" s="100"/>
      <c r="AA34" s="100"/>
      <c r="AB34" s="100" t="n">
        <v>3</v>
      </c>
      <c r="AC34" s="100"/>
      <c r="AD34" s="96"/>
      <c r="AE34" s="96" t="n">
        <f aca="false">M34</f>
        <v>3</v>
      </c>
      <c r="AF34" s="96" t="n">
        <f aca="false">N34</f>
        <v>0</v>
      </c>
      <c r="AG34" s="31" t="n">
        <v>0</v>
      </c>
      <c r="AH34" s="31" t="n">
        <v>0</v>
      </c>
      <c r="AI34" s="31" t="n">
        <v>3</v>
      </c>
      <c r="AJ34" s="31" t="n">
        <v>0</v>
      </c>
      <c r="AK34" s="60" t="s">
        <v>135</v>
      </c>
      <c r="AL34" s="60" t="s">
        <v>136</v>
      </c>
      <c r="AM34" s="60" t="s">
        <v>137</v>
      </c>
      <c r="AN34" s="60" t="s">
        <v>138</v>
      </c>
    </row>
    <row r="35" customFormat="false" ht="15" hidden="false" customHeight="false" outlineLevel="0" collapsed="false">
      <c r="A35" s="1" t="n">
        <v>13</v>
      </c>
      <c r="B35" s="1" t="s">
        <v>208</v>
      </c>
      <c r="C35" s="1" t="s">
        <v>144</v>
      </c>
      <c r="D35" s="1" t="n">
        <v>6</v>
      </c>
      <c r="E35" s="78" t="str">
        <f aca="false">IF(D35&gt;8,"2 de 30h","1 de 44h")</f>
        <v>1 de 44h</v>
      </c>
      <c r="F35" s="95"/>
      <c r="G35" s="1" t="n">
        <v>1</v>
      </c>
      <c r="H35" s="60"/>
      <c r="I35" s="60"/>
      <c r="J35" s="60" t="n">
        <v>1</v>
      </c>
      <c r="K35" s="78" t="n">
        <v>1</v>
      </c>
      <c r="L35" s="60" t="n">
        <f aca="false">ROUNDUP(K35/4,0)</f>
        <v>1</v>
      </c>
      <c r="M35" s="60" t="n">
        <f aca="false">I35+L35</f>
        <v>1</v>
      </c>
      <c r="N35" s="60" t="n">
        <f aca="false">J35</f>
        <v>1</v>
      </c>
      <c r="O35" s="1" t="s">
        <v>179</v>
      </c>
      <c r="P35" s="1" t="s">
        <v>185</v>
      </c>
      <c r="Q35" s="1" t="s">
        <v>186</v>
      </c>
      <c r="R35" s="1" t="s">
        <v>186</v>
      </c>
      <c r="S35" s="1" t="n">
        <v>5705</v>
      </c>
      <c r="T35" s="97"/>
      <c r="U35" s="97"/>
      <c r="V35" s="98" t="n">
        <v>42888</v>
      </c>
      <c r="W35" s="98"/>
      <c r="X35" s="98" t="s">
        <v>209</v>
      </c>
      <c r="Y35" s="99"/>
      <c r="Z35" s="101"/>
      <c r="AA35" s="101"/>
      <c r="AB35" s="101" t="n">
        <v>3</v>
      </c>
      <c r="AC35" s="101"/>
      <c r="AD35" s="60"/>
      <c r="AE35" s="60" t="n">
        <f aca="false">M35</f>
        <v>1</v>
      </c>
      <c r="AF35" s="60" t="n">
        <f aca="false">N35</f>
        <v>1</v>
      </c>
      <c r="AG35" s="102" t="n">
        <v>0</v>
      </c>
      <c r="AH35" s="102" t="n">
        <v>0</v>
      </c>
      <c r="AI35" s="102" t="n">
        <v>1</v>
      </c>
      <c r="AJ35" s="102" t="n">
        <v>1</v>
      </c>
      <c r="AK35" s="60" t="s">
        <v>135</v>
      </c>
      <c r="AL35" s="60" t="s">
        <v>136</v>
      </c>
      <c r="AM35" s="60" t="s">
        <v>137</v>
      </c>
      <c r="AN35" s="60" t="s">
        <v>138</v>
      </c>
    </row>
    <row r="36" customFormat="false" ht="15" hidden="false" customHeight="false" outlineLevel="0" collapsed="false">
      <c r="A36" s="1" t="n">
        <v>14</v>
      </c>
      <c r="B36" s="1" t="s">
        <v>210</v>
      </c>
      <c r="C36" s="1" t="s">
        <v>203</v>
      </c>
      <c r="D36" s="1" t="n">
        <v>6</v>
      </c>
      <c r="E36" s="78" t="str">
        <f aca="false">IF(D36&gt;8,"2 de 30h","1 de 44h")</f>
        <v>1 de 44h</v>
      </c>
      <c r="F36" s="95"/>
      <c r="G36" s="1" t="n">
        <v>1</v>
      </c>
      <c r="H36" s="96"/>
      <c r="I36" s="96"/>
      <c r="J36" s="96" t="n">
        <v>1</v>
      </c>
      <c r="K36" s="78" t="n">
        <v>0</v>
      </c>
      <c r="L36" s="96" t="n">
        <f aca="false">K36/4</f>
        <v>0</v>
      </c>
      <c r="M36" s="96" t="n">
        <f aca="false">I36+L36</f>
        <v>0</v>
      </c>
      <c r="N36" s="96" t="n">
        <f aca="false">J36</f>
        <v>1</v>
      </c>
      <c r="O36" s="1" t="s">
        <v>179</v>
      </c>
      <c r="P36" s="1" t="s">
        <v>185</v>
      </c>
      <c r="Q36" s="1" t="s">
        <v>186</v>
      </c>
      <c r="R36" s="1" t="s">
        <v>186</v>
      </c>
      <c r="S36" s="1" t="n">
        <v>4251</v>
      </c>
      <c r="T36" s="97"/>
      <c r="U36" s="97"/>
      <c r="V36" s="98" t="n">
        <v>18893</v>
      </c>
      <c r="W36" s="98"/>
      <c r="X36" s="98" t="s">
        <v>211</v>
      </c>
      <c r="Y36" s="99"/>
      <c r="Z36" s="100"/>
      <c r="AA36" s="100"/>
      <c r="AB36" s="100" t="n">
        <v>2</v>
      </c>
      <c r="AC36" s="100"/>
      <c r="AD36" s="96"/>
      <c r="AE36" s="96" t="n">
        <f aca="false">M36</f>
        <v>0</v>
      </c>
      <c r="AF36" s="96" t="n">
        <f aca="false">N36</f>
        <v>1</v>
      </c>
      <c r="AG36" s="31" t="n">
        <v>0</v>
      </c>
      <c r="AH36" s="31" t="n">
        <v>0</v>
      </c>
      <c r="AI36" s="31" t="n">
        <v>0</v>
      </c>
      <c r="AJ36" s="31" t="n">
        <v>1</v>
      </c>
      <c r="AK36" s="60" t="s">
        <v>135</v>
      </c>
      <c r="AL36" s="60" t="s">
        <v>136</v>
      </c>
      <c r="AM36" s="60" t="s">
        <v>137</v>
      </c>
      <c r="AN36" s="60" t="s">
        <v>138</v>
      </c>
    </row>
    <row r="37" customFormat="false" ht="15" hidden="false" customHeight="false" outlineLevel="0" collapsed="false">
      <c r="A37" s="1" t="n">
        <v>15</v>
      </c>
      <c r="B37" s="1" t="s">
        <v>212</v>
      </c>
      <c r="C37" s="1" t="s">
        <v>197</v>
      </c>
      <c r="D37" s="1" t="n">
        <v>10</v>
      </c>
      <c r="E37" s="78" t="str">
        <f aca="false">IF(D37&gt;8,"2 de 30h","1 de 44h")</f>
        <v>2 de 30h</v>
      </c>
      <c r="F37" s="95"/>
      <c r="G37" s="1" t="n">
        <v>1</v>
      </c>
      <c r="H37" s="60"/>
      <c r="I37" s="60" t="n">
        <v>2</v>
      </c>
      <c r="J37" s="60"/>
      <c r="K37" s="78" t="n">
        <v>0</v>
      </c>
      <c r="L37" s="60" t="n">
        <f aca="false">K37/4</f>
        <v>0</v>
      </c>
      <c r="M37" s="60" t="n">
        <f aca="false">I37+L37</f>
        <v>2</v>
      </c>
      <c r="N37" s="60" t="n">
        <f aca="false">J37</f>
        <v>0</v>
      </c>
      <c r="O37" s="1" t="s">
        <v>186</v>
      </c>
      <c r="P37" s="1" t="s">
        <v>186</v>
      </c>
      <c r="Q37" s="1" t="s">
        <v>186</v>
      </c>
      <c r="R37" s="1" t="s">
        <v>186</v>
      </c>
      <c r="S37" s="1" t="n">
        <v>10300</v>
      </c>
      <c r="T37" s="97"/>
      <c r="U37" s="97"/>
      <c r="V37" s="98" t="n">
        <v>36179</v>
      </c>
      <c r="W37" s="98"/>
      <c r="X37" s="98" t="s">
        <v>213</v>
      </c>
      <c r="Y37" s="99"/>
      <c r="Z37" s="101"/>
      <c r="AA37" s="101"/>
      <c r="AB37" s="101" t="n">
        <v>2</v>
      </c>
      <c r="AC37" s="101"/>
      <c r="AD37" s="60"/>
      <c r="AE37" s="60" t="n">
        <f aca="false">M37</f>
        <v>2</v>
      </c>
      <c r="AF37" s="60" t="n">
        <f aca="false">N37</f>
        <v>0</v>
      </c>
      <c r="AG37" s="102" t="n">
        <v>0</v>
      </c>
      <c r="AH37" s="102" t="n">
        <v>0</v>
      </c>
      <c r="AI37" s="102" t="n">
        <v>2</v>
      </c>
      <c r="AJ37" s="102" t="n">
        <v>0</v>
      </c>
      <c r="AK37" s="60" t="s">
        <v>135</v>
      </c>
      <c r="AL37" s="60" t="s">
        <v>136</v>
      </c>
      <c r="AM37" s="60" t="s">
        <v>137</v>
      </c>
      <c r="AN37" s="60" t="s">
        <v>138</v>
      </c>
    </row>
    <row r="38" customFormat="false" ht="15" hidden="false" customHeight="false" outlineLevel="0" collapsed="false">
      <c r="A38" s="1" t="n">
        <v>16</v>
      </c>
      <c r="B38" s="1" t="s">
        <v>214</v>
      </c>
      <c r="C38" s="1" t="s">
        <v>144</v>
      </c>
      <c r="D38" s="1" t="n">
        <v>6</v>
      </c>
      <c r="E38" s="78" t="str">
        <f aca="false">IF(D38&gt;8,"2 de 30h","1 de 44h")</f>
        <v>1 de 44h</v>
      </c>
      <c r="F38" s="95"/>
      <c r="G38" s="1" t="n">
        <v>1</v>
      </c>
      <c r="H38" s="96"/>
      <c r="I38" s="96"/>
      <c r="J38" s="96" t="n">
        <v>1</v>
      </c>
      <c r="K38" s="78" t="n">
        <v>0</v>
      </c>
      <c r="L38" s="96" t="n">
        <f aca="false">K38/4</f>
        <v>0</v>
      </c>
      <c r="M38" s="96" t="n">
        <f aca="false">I38+L38</f>
        <v>0</v>
      </c>
      <c r="N38" s="96" t="n">
        <f aca="false">J38</f>
        <v>1</v>
      </c>
      <c r="O38" s="1" t="s">
        <v>179</v>
      </c>
      <c r="P38" s="1" t="s">
        <v>185</v>
      </c>
      <c r="Q38" s="1" t="s">
        <v>179</v>
      </c>
      <c r="R38" s="1" t="s">
        <v>179</v>
      </c>
      <c r="S38" s="1" t="n">
        <v>4191</v>
      </c>
      <c r="T38" s="97"/>
      <c r="U38" s="97"/>
      <c r="V38" s="98" t="n">
        <v>28683</v>
      </c>
      <c r="W38" s="98"/>
      <c r="X38" s="98" t="s">
        <v>201</v>
      </c>
      <c r="Y38" s="99"/>
      <c r="Z38" s="100"/>
      <c r="AA38" s="100"/>
      <c r="AB38" s="100" t="n">
        <v>2</v>
      </c>
      <c r="AC38" s="100"/>
      <c r="AD38" s="96"/>
      <c r="AE38" s="96" t="n">
        <f aca="false">M38</f>
        <v>0</v>
      </c>
      <c r="AF38" s="96" t="n">
        <f aca="false">N38</f>
        <v>1</v>
      </c>
      <c r="AG38" s="31" t="n">
        <v>0</v>
      </c>
      <c r="AH38" s="31" t="n">
        <v>0</v>
      </c>
      <c r="AI38" s="31" t="n">
        <v>0</v>
      </c>
      <c r="AJ38" s="31" t="n">
        <v>1</v>
      </c>
      <c r="AK38" s="60" t="s">
        <v>135</v>
      </c>
      <c r="AL38" s="60" t="s">
        <v>136</v>
      </c>
      <c r="AM38" s="60" t="s">
        <v>137</v>
      </c>
      <c r="AN38" s="60" t="s">
        <v>138</v>
      </c>
    </row>
    <row r="39" customFormat="false" ht="15" hidden="false" customHeight="false" outlineLevel="0" collapsed="false">
      <c r="A39" s="1" t="n">
        <v>17</v>
      </c>
      <c r="B39" s="1" t="s">
        <v>215</v>
      </c>
      <c r="C39" s="1" t="s">
        <v>203</v>
      </c>
      <c r="D39" s="1" t="n">
        <v>6</v>
      </c>
      <c r="E39" s="78" t="str">
        <f aca="false">IF(D39&gt;8,"2 de 30h","1 de 44h")</f>
        <v>1 de 44h</v>
      </c>
      <c r="F39" s="95"/>
      <c r="G39" s="1" t="n">
        <v>1</v>
      </c>
      <c r="H39" s="60"/>
      <c r="I39" s="60"/>
      <c r="J39" s="60" t="n">
        <v>1</v>
      </c>
      <c r="K39" s="78" t="n">
        <v>0</v>
      </c>
      <c r="L39" s="60" t="n">
        <f aca="false">K39/4</f>
        <v>0</v>
      </c>
      <c r="M39" s="60" t="n">
        <f aca="false">I39+L39</f>
        <v>0</v>
      </c>
      <c r="N39" s="60" t="n">
        <f aca="false">J39</f>
        <v>1</v>
      </c>
      <c r="O39" s="1" t="s">
        <v>179</v>
      </c>
      <c r="P39" s="1" t="s">
        <v>130</v>
      </c>
      <c r="Q39" s="1" t="s">
        <v>179</v>
      </c>
      <c r="R39" s="1" t="s">
        <v>179</v>
      </c>
      <c r="S39" s="1" t="n">
        <v>3240</v>
      </c>
      <c r="T39" s="97"/>
      <c r="U39" s="97"/>
      <c r="V39" s="98" t="n">
        <v>21749</v>
      </c>
      <c r="W39" s="98"/>
      <c r="X39" s="98" t="s">
        <v>216</v>
      </c>
      <c r="Y39" s="99"/>
      <c r="Z39" s="101"/>
      <c r="AA39" s="101"/>
      <c r="AB39" s="101" t="n">
        <v>2</v>
      </c>
      <c r="AC39" s="101"/>
      <c r="AD39" s="60"/>
      <c r="AE39" s="60" t="n">
        <f aca="false">M39</f>
        <v>0</v>
      </c>
      <c r="AF39" s="60" t="n">
        <f aca="false">N39</f>
        <v>1</v>
      </c>
      <c r="AG39" s="102" t="n">
        <v>0</v>
      </c>
      <c r="AH39" s="102" t="n">
        <v>0</v>
      </c>
      <c r="AI39" s="102" t="n">
        <v>0</v>
      </c>
      <c r="AJ39" s="102" t="n">
        <v>1</v>
      </c>
      <c r="AK39" s="60" t="s">
        <v>135</v>
      </c>
      <c r="AL39" s="60" t="s">
        <v>136</v>
      </c>
      <c r="AM39" s="60" t="s">
        <v>137</v>
      </c>
      <c r="AN39" s="60" t="s">
        <v>138</v>
      </c>
    </row>
    <row r="40" customFormat="false" ht="15" hidden="false" customHeight="false" outlineLevel="0" collapsed="false">
      <c r="A40" s="1" t="n">
        <v>18</v>
      </c>
      <c r="B40" s="1" t="s">
        <v>217</v>
      </c>
      <c r="C40" s="1" t="s">
        <v>184</v>
      </c>
      <c r="D40" s="1" t="n">
        <v>10</v>
      </c>
      <c r="E40" s="78" t="str">
        <f aca="false">IF(D40&gt;8,"2 de 30h","1 de 44h")</f>
        <v>2 de 30h</v>
      </c>
      <c r="F40" s="95"/>
      <c r="G40" s="1" t="n">
        <v>1</v>
      </c>
      <c r="H40" s="96"/>
      <c r="I40" s="96" t="n">
        <v>2</v>
      </c>
      <c r="J40" s="96"/>
      <c r="K40" s="78" t="n">
        <v>0</v>
      </c>
      <c r="L40" s="96" t="n">
        <f aca="false">K40/4</f>
        <v>0</v>
      </c>
      <c r="M40" s="96" t="n">
        <f aca="false">I40+L40</f>
        <v>2</v>
      </c>
      <c r="N40" s="96" t="n">
        <f aca="false">J40</f>
        <v>0</v>
      </c>
      <c r="O40" s="1" t="s">
        <v>179</v>
      </c>
      <c r="P40" s="1" t="s">
        <v>130</v>
      </c>
      <c r="Q40" s="1" t="s">
        <v>179</v>
      </c>
      <c r="R40" s="1" t="s">
        <v>179</v>
      </c>
      <c r="S40" s="1" t="n">
        <v>4307</v>
      </c>
      <c r="T40" s="97"/>
      <c r="U40" s="97"/>
      <c r="V40" s="98" t="n">
        <v>25769</v>
      </c>
      <c r="W40" s="98"/>
      <c r="X40" s="98" t="s">
        <v>218</v>
      </c>
      <c r="Y40" s="99"/>
      <c r="Z40" s="100"/>
      <c r="AA40" s="100"/>
      <c r="AB40" s="100" t="n">
        <v>2</v>
      </c>
      <c r="AC40" s="100"/>
      <c r="AD40" s="96"/>
      <c r="AE40" s="96" t="n">
        <f aca="false">M40</f>
        <v>2</v>
      </c>
      <c r="AF40" s="96" t="n">
        <f aca="false">N40</f>
        <v>0</v>
      </c>
      <c r="AG40" s="31" t="n">
        <v>0</v>
      </c>
      <c r="AH40" s="31" t="n">
        <v>0</v>
      </c>
      <c r="AI40" s="31" t="n">
        <v>2</v>
      </c>
      <c r="AJ40" s="31" t="n">
        <v>0</v>
      </c>
      <c r="AK40" s="60" t="s">
        <v>135</v>
      </c>
      <c r="AL40" s="60" t="s">
        <v>136</v>
      </c>
      <c r="AM40" s="60" t="s">
        <v>137</v>
      </c>
      <c r="AN40" s="60" t="s">
        <v>138</v>
      </c>
    </row>
    <row r="41" customFormat="false" ht="15" hidden="false" customHeight="false" outlineLevel="0" collapsed="false">
      <c r="A41" s="1" t="n">
        <v>19</v>
      </c>
      <c r="B41" s="1" t="s">
        <v>219</v>
      </c>
      <c r="C41" s="1" t="s">
        <v>220</v>
      </c>
      <c r="D41" s="1" t="n">
        <v>7</v>
      </c>
      <c r="E41" s="78" t="str">
        <f aca="false">IF(D41&gt;8,"2 de 30h","1 de 44h")</f>
        <v>1 de 44h</v>
      </c>
      <c r="F41" s="95"/>
      <c r="G41" s="1" t="n">
        <v>1</v>
      </c>
      <c r="H41" s="60"/>
      <c r="I41" s="60"/>
      <c r="J41" s="60" t="n">
        <v>1</v>
      </c>
      <c r="K41" s="78" t="n">
        <v>0</v>
      </c>
      <c r="L41" s="60" t="n">
        <f aca="false">K41/4</f>
        <v>0</v>
      </c>
      <c r="M41" s="60" t="n">
        <f aca="false">I41+L41</f>
        <v>0</v>
      </c>
      <c r="N41" s="60" t="n">
        <f aca="false">J41</f>
        <v>1</v>
      </c>
      <c r="O41" s="1" t="s">
        <v>179</v>
      </c>
      <c r="P41" s="1" t="s">
        <v>130</v>
      </c>
      <c r="Q41" s="1" t="s">
        <v>179</v>
      </c>
      <c r="R41" s="1" t="s">
        <v>179</v>
      </c>
      <c r="S41" s="1" t="n">
        <v>4880</v>
      </c>
      <c r="T41" s="97"/>
      <c r="U41" s="97"/>
      <c r="V41" s="98" t="n">
        <v>30605</v>
      </c>
      <c r="W41" s="98"/>
      <c r="X41" s="98" t="s">
        <v>221</v>
      </c>
      <c r="Y41" s="99"/>
      <c r="Z41" s="101"/>
      <c r="AA41" s="101"/>
      <c r="AB41" s="101" t="n">
        <v>2</v>
      </c>
      <c r="AC41" s="101"/>
      <c r="AD41" s="60"/>
      <c r="AE41" s="60" t="n">
        <f aca="false">M41</f>
        <v>0</v>
      </c>
      <c r="AF41" s="60" t="n">
        <f aca="false">N41</f>
        <v>1</v>
      </c>
      <c r="AG41" s="102" t="n">
        <v>0</v>
      </c>
      <c r="AH41" s="102" t="n">
        <v>0</v>
      </c>
      <c r="AI41" s="102" t="n">
        <v>0</v>
      </c>
      <c r="AJ41" s="102" t="n">
        <v>1</v>
      </c>
      <c r="AK41" s="60" t="s">
        <v>135</v>
      </c>
      <c r="AL41" s="60" t="s">
        <v>136</v>
      </c>
      <c r="AM41" s="60" t="s">
        <v>137</v>
      </c>
      <c r="AN41" s="60" t="s">
        <v>138</v>
      </c>
    </row>
    <row r="42" customFormat="false" ht="9" hidden="false" customHeight="true" outlineLevel="0" collapsed="false">
      <c r="A42" s="106"/>
      <c r="B42" s="106"/>
      <c r="C42" s="106"/>
      <c r="D42" s="106"/>
      <c r="E42" s="107"/>
      <c r="F42" s="111"/>
      <c r="G42" s="106"/>
      <c r="H42" s="108"/>
      <c r="I42" s="108"/>
      <c r="J42" s="108"/>
      <c r="K42" s="107"/>
      <c r="L42" s="108"/>
      <c r="M42" s="108"/>
      <c r="N42" s="108"/>
      <c r="O42" s="106"/>
      <c r="P42" s="106"/>
      <c r="Q42" s="106"/>
      <c r="R42" s="106"/>
      <c r="S42" s="106"/>
      <c r="T42" s="109"/>
      <c r="U42" s="109"/>
      <c r="V42" s="109"/>
      <c r="W42" s="109"/>
      <c r="X42" s="109"/>
      <c r="Y42" s="109"/>
      <c r="Z42" s="110"/>
      <c r="AA42" s="110"/>
      <c r="AB42" s="110"/>
      <c r="AC42" s="110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</row>
    <row r="43" customFormat="false" ht="15" hidden="false" customHeight="false" outlineLevel="0" collapsed="false">
      <c r="A43" s="1" t="n">
        <v>1</v>
      </c>
      <c r="B43" s="1" t="s">
        <v>222</v>
      </c>
      <c r="C43" s="1" t="s">
        <v>128</v>
      </c>
      <c r="F43" s="95" t="s">
        <v>223</v>
      </c>
      <c r="G43" s="1" t="n">
        <v>1</v>
      </c>
      <c r="H43" s="60" t="n">
        <v>1</v>
      </c>
      <c r="I43" s="60"/>
      <c r="J43" s="60"/>
      <c r="K43" s="78" t="n">
        <v>0</v>
      </c>
      <c r="L43" s="60" t="n">
        <f aca="false">ROUNDUP(K43/4,0)</f>
        <v>0</v>
      </c>
      <c r="M43" s="60" t="n">
        <f aca="false">I43+L43</f>
        <v>0</v>
      </c>
      <c r="N43" s="60" t="n">
        <f aca="false">J43</f>
        <v>0</v>
      </c>
      <c r="O43" s="1" t="s">
        <v>179</v>
      </c>
      <c r="P43" s="1" t="s">
        <v>224</v>
      </c>
      <c r="Q43" s="1" t="s">
        <v>179</v>
      </c>
      <c r="S43" s="1" t="n">
        <v>199863</v>
      </c>
      <c r="T43" s="97" t="s">
        <v>132</v>
      </c>
      <c r="U43" s="97"/>
      <c r="V43" s="98" t="n">
        <v>506701</v>
      </c>
      <c r="W43" s="98" t="s">
        <v>225</v>
      </c>
      <c r="X43" s="98" t="s">
        <v>226</v>
      </c>
      <c r="Y43" s="99" t="s">
        <v>132</v>
      </c>
      <c r="Z43" s="101" t="n">
        <v>1</v>
      </c>
      <c r="AA43" s="101" t="n">
        <v>1</v>
      </c>
      <c r="AB43" s="101"/>
      <c r="AC43" s="101"/>
      <c r="AD43" s="60" t="n">
        <f aca="false">H43</f>
        <v>1</v>
      </c>
      <c r="AE43" s="60" t="n">
        <f aca="false">M43</f>
        <v>0</v>
      </c>
      <c r="AF43" s="60" t="n">
        <f aca="false">N43</f>
        <v>0</v>
      </c>
      <c r="AG43" s="102" t="n">
        <v>1</v>
      </c>
      <c r="AH43" s="102" t="n">
        <v>1</v>
      </c>
      <c r="AI43" s="102" t="n">
        <v>0</v>
      </c>
      <c r="AJ43" s="102" t="n">
        <v>0</v>
      </c>
      <c r="AK43" s="60" t="s">
        <v>135</v>
      </c>
      <c r="AL43" s="60" t="s">
        <v>136</v>
      </c>
      <c r="AM43" s="60" t="s">
        <v>137</v>
      </c>
      <c r="AN43" s="60" t="s">
        <v>138</v>
      </c>
    </row>
    <row r="44" customFormat="false" ht="15" hidden="false" customHeight="false" outlineLevel="0" collapsed="false">
      <c r="A44" s="1" t="n">
        <v>2</v>
      </c>
      <c r="B44" s="1" t="s">
        <v>227</v>
      </c>
      <c r="C44" s="1" t="s">
        <v>228</v>
      </c>
      <c r="D44" s="1" t="n">
        <v>6</v>
      </c>
      <c r="E44" s="78" t="s">
        <v>145</v>
      </c>
      <c r="F44" s="95" t="s">
        <v>184</v>
      </c>
      <c r="G44" s="1" t="n">
        <v>2</v>
      </c>
      <c r="H44" s="96"/>
      <c r="I44" s="96" t="n">
        <v>2</v>
      </c>
      <c r="J44" s="96" t="n">
        <v>1</v>
      </c>
      <c r="K44" s="78" t="n">
        <v>4</v>
      </c>
      <c r="L44" s="96" t="n">
        <f aca="false">K44/4</f>
        <v>1</v>
      </c>
      <c r="M44" s="96" t="n">
        <f aca="false">I44+L44</f>
        <v>3</v>
      </c>
      <c r="N44" s="96" t="n">
        <f aca="false">J44</f>
        <v>1</v>
      </c>
      <c r="O44" s="1" t="s">
        <v>179</v>
      </c>
      <c r="P44" s="1" t="s">
        <v>229</v>
      </c>
      <c r="Q44" s="1" t="s">
        <v>179</v>
      </c>
      <c r="S44" s="1" t="n">
        <v>27518</v>
      </c>
      <c r="T44" s="97" t="s">
        <v>132</v>
      </c>
      <c r="U44" s="97"/>
      <c r="V44" s="98" t="n">
        <v>120919</v>
      </c>
      <c r="W44" s="98" t="s">
        <v>230</v>
      </c>
      <c r="X44" s="98" t="s">
        <v>231</v>
      </c>
      <c r="Y44" s="99" t="s">
        <v>132</v>
      </c>
      <c r="Z44" s="100" t="n">
        <v>1</v>
      </c>
      <c r="AA44" s="100" t="n">
        <v>1</v>
      </c>
      <c r="AB44" s="100"/>
      <c r="AC44" s="100" t="n">
        <v>1</v>
      </c>
      <c r="AD44" s="96"/>
      <c r="AE44" s="96" t="n">
        <f aca="false">M44</f>
        <v>3</v>
      </c>
      <c r="AF44" s="96" t="n">
        <f aca="false">N44</f>
        <v>1</v>
      </c>
      <c r="AG44" s="31" t="n">
        <v>0</v>
      </c>
      <c r="AH44" s="31" t="n">
        <v>1</v>
      </c>
      <c r="AI44" s="31" t="n">
        <v>3</v>
      </c>
      <c r="AJ44" s="31" t="n">
        <v>0</v>
      </c>
      <c r="AK44" s="60" t="s">
        <v>135</v>
      </c>
      <c r="AL44" s="60" t="s">
        <v>136</v>
      </c>
      <c r="AM44" s="60" t="s">
        <v>137</v>
      </c>
      <c r="AN44" s="60" t="s">
        <v>138</v>
      </c>
    </row>
    <row r="45" customFormat="false" ht="15" hidden="false" customHeight="false" outlineLevel="0" collapsed="false">
      <c r="A45" s="1" t="n">
        <v>3</v>
      </c>
      <c r="B45" s="1" t="s">
        <v>232</v>
      </c>
      <c r="C45" s="1" t="s">
        <v>228</v>
      </c>
      <c r="D45" s="1" t="n">
        <v>6</v>
      </c>
      <c r="E45" s="78" t="s">
        <v>145</v>
      </c>
      <c r="F45" s="95" t="s">
        <v>220</v>
      </c>
      <c r="G45" s="1" t="n">
        <v>1</v>
      </c>
      <c r="H45" s="60"/>
      <c r="I45" s="60" t="n">
        <v>2</v>
      </c>
      <c r="J45" s="60" t="n">
        <v>0</v>
      </c>
      <c r="K45" s="78" t="n">
        <v>2</v>
      </c>
      <c r="L45" s="60" t="n">
        <f aca="false">ROUNDUP(K45/4,0)</f>
        <v>1</v>
      </c>
      <c r="M45" s="60" t="n">
        <f aca="false">I45+L45</f>
        <v>3</v>
      </c>
      <c r="N45" s="60" t="n">
        <f aca="false">J45</f>
        <v>0</v>
      </c>
      <c r="O45" s="1" t="s">
        <v>179</v>
      </c>
      <c r="P45" s="1" t="s">
        <v>229</v>
      </c>
      <c r="Q45" s="1" t="s">
        <v>186</v>
      </c>
      <c r="S45" s="1" t="n">
        <v>12205</v>
      </c>
      <c r="T45" s="97" t="s">
        <v>132</v>
      </c>
      <c r="U45" s="97"/>
      <c r="V45" s="98" t="n">
        <v>46928</v>
      </c>
      <c r="W45" s="98"/>
      <c r="X45" s="98" t="s">
        <v>233</v>
      </c>
      <c r="Y45" s="99" t="s">
        <v>132</v>
      </c>
      <c r="Z45" s="101" t="n">
        <v>1</v>
      </c>
      <c r="AA45" s="101" t="n">
        <v>1</v>
      </c>
      <c r="AB45" s="101"/>
      <c r="AC45" s="101" t="n">
        <v>1</v>
      </c>
      <c r="AD45" s="60"/>
      <c r="AE45" s="60" t="n">
        <f aca="false">M45</f>
        <v>3</v>
      </c>
      <c r="AF45" s="60" t="n">
        <f aca="false">N45</f>
        <v>0</v>
      </c>
      <c r="AG45" s="102" t="n">
        <v>0</v>
      </c>
      <c r="AH45" s="102" t="n">
        <v>1</v>
      </c>
      <c r="AI45" s="102" t="n">
        <v>3</v>
      </c>
      <c r="AJ45" s="102" t="n">
        <v>0</v>
      </c>
      <c r="AK45" s="60" t="s">
        <v>135</v>
      </c>
      <c r="AL45" s="60" t="s">
        <v>136</v>
      </c>
      <c r="AM45" s="60" t="s">
        <v>137</v>
      </c>
      <c r="AN45" s="60" t="s">
        <v>138</v>
      </c>
    </row>
    <row r="46" customFormat="false" ht="15" hidden="false" customHeight="false" outlineLevel="0" collapsed="false">
      <c r="A46" s="1" t="n">
        <v>4</v>
      </c>
      <c r="B46" s="1" t="s">
        <v>234</v>
      </c>
      <c r="C46" s="1" t="s">
        <v>228</v>
      </c>
      <c r="D46" s="1" t="n">
        <v>6</v>
      </c>
      <c r="E46" s="78" t="str">
        <f aca="false">IF(D46&gt;8,"2 de 30h","1 de 44h")</f>
        <v>1 de 44h</v>
      </c>
      <c r="F46" s="95"/>
      <c r="G46" s="1" t="n">
        <v>1</v>
      </c>
      <c r="H46" s="96"/>
      <c r="I46" s="96"/>
      <c r="J46" s="96" t="n">
        <v>1</v>
      </c>
      <c r="K46" s="78" t="n">
        <v>0</v>
      </c>
      <c r="L46" s="96" t="n">
        <f aca="false">K46/4</f>
        <v>0</v>
      </c>
      <c r="M46" s="96" t="n">
        <f aca="false">I46+L46</f>
        <v>0</v>
      </c>
      <c r="N46" s="96" t="n">
        <f aca="false">J46</f>
        <v>1</v>
      </c>
      <c r="O46" s="1" t="s">
        <v>179</v>
      </c>
      <c r="P46" s="1" t="s">
        <v>229</v>
      </c>
      <c r="Q46" s="1" t="s">
        <v>179</v>
      </c>
      <c r="S46" s="1" t="n">
        <v>12928</v>
      </c>
      <c r="T46" s="97"/>
      <c r="U46" s="97"/>
      <c r="V46" s="98" t="n">
        <v>104150</v>
      </c>
      <c r="W46" s="98" t="n">
        <v>16</v>
      </c>
      <c r="X46" s="98" t="s">
        <v>231</v>
      </c>
      <c r="Y46" s="99"/>
      <c r="Z46" s="100"/>
      <c r="AA46" s="100"/>
      <c r="AB46" s="100" t="n">
        <v>2</v>
      </c>
      <c r="AC46" s="100"/>
      <c r="AD46" s="96"/>
      <c r="AE46" s="96" t="n">
        <f aca="false">M46</f>
        <v>0</v>
      </c>
      <c r="AF46" s="96" t="n">
        <f aca="false">N46</f>
        <v>1</v>
      </c>
      <c r="AG46" s="31" t="n">
        <v>0</v>
      </c>
      <c r="AH46" s="31" t="n">
        <v>0</v>
      </c>
      <c r="AI46" s="31" t="n">
        <v>1</v>
      </c>
      <c r="AJ46" s="31" t="n">
        <v>0</v>
      </c>
      <c r="AK46" s="60" t="s">
        <v>135</v>
      </c>
      <c r="AL46" s="60" t="s">
        <v>136</v>
      </c>
      <c r="AM46" s="60" t="s">
        <v>137</v>
      </c>
      <c r="AN46" s="60" t="s">
        <v>138</v>
      </c>
    </row>
    <row r="47" customFormat="false" ht="15" hidden="false" customHeight="false" outlineLevel="0" collapsed="false">
      <c r="A47" s="1" t="n">
        <v>5</v>
      </c>
      <c r="B47" s="1" t="s">
        <v>235</v>
      </c>
      <c r="C47" s="1" t="s">
        <v>228</v>
      </c>
      <c r="D47" s="1" t="n">
        <v>6</v>
      </c>
      <c r="E47" s="78" t="str">
        <f aca="false">IF(D47&gt;8,"2 de 30h","1 de 44h")</f>
        <v>1 de 44h</v>
      </c>
      <c r="F47" s="95" t="s">
        <v>144</v>
      </c>
      <c r="G47" s="1" t="n">
        <v>1</v>
      </c>
      <c r="H47" s="60"/>
      <c r="I47" s="60"/>
      <c r="J47" s="60" t="n">
        <v>1</v>
      </c>
      <c r="K47" s="78" t="n">
        <v>1</v>
      </c>
      <c r="L47" s="60" t="n">
        <f aca="false">ROUNDUP(K47/4,0)</f>
        <v>1</v>
      </c>
      <c r="M47" s="60" t="n">
        <f aca="false">I47+L47</f>
        <v>1</v>
      </c>
      <c r="N47" s="60" t="n">
        <f aca="false">J47</f>
        <v>1</v>
      </c>
      <c r="O47" s="1" t="s">
        <v>179</v>
      </c>
      <c r="P47" s="1" t="s">
        <v>229</v>
      </c>
      <c r="Q47" s="1" t="s">
        <v>179</v>
      </c>
      <c r="S47" s="1" t="n">
        <v>8918</v>
      </c>
      <c r="T47" s="97"/>
      <c r="U47" s="97"/>
      <c r="V47" s="98" t="n">
        <v>31816</v>
      </c>
      <c r="W47" s="98"/>
      <c r="X47" s="98" t="s">
        <v>236</v>
      </c>
      <c r="Y47" s="99"/>
      <c r="Z47" s="101"/>
      <c r="AA47" s="101"/>
      <c r="AB47" s="101" t="n">
        <v>3</v>
      </c>
      <c r="AC47" s="101"/>
      <c r="AD47" s="60"/>
      <c r="AE47" s="60" t="n">
        <f aca="false">M47</f>
        <v>1</v>
      </c>
      <c r="AF47" s="60" t="n">
        <f aca="false">N47</f>
        <v>1</v>
      </c>
      <c r="AG47" s="102" t="n">
        <v>0</v>
      </c>
      <c r="AH47" s="102" t="n">
        <v>0</v>
      </c>
      <c r="AI47" s="102" t="n">
        <v>2</v>
      </c>
      <c r="AJ47" s="102" t="n">
        <v>0</v>
      </c>
      <c r="AK47" s="60" t="s">
        <v>135</v>
      </c>
      <c r="AL47" s="60" t="s">
        <v>136</v>
      </c>
      <c r="AM47" s="60" t="s">
        <v>137</v>
      </c>
      <c r="AN47" s="60" t="s">
        <v>138</v>
      </c>
    </row>
    <row r="48" customFormat="false" ht="15" hidden="false" customHeight="false" outlineLevel="0" collapsed="false">
      <c r="A48" s="1" t="n">
        <v>6</v>
      </c>
      <c r="B48" s="1" t="s">
        <v>237</v>
      </c>
      <c r="C48" s="1" t="s">
        <v>238</v>
      </c>
      <c r="D48" s="1" t="n">
        <v>5</v>
      </c>
      <c r="E48" s="78" t="str">
        <f aca="false">IF(D48&gt;8,"2 de 30h","1 de 44h")</f>
        <v>1 de 44h</v>
      </c>
      <c r="F48" s="95" t="s">
        <v>220</v>
      </c>
      <c r="G48" s="1" t="n">
        <v>1</v>
      </c>
      <c r="H48" s="96"/>
      <c r="I48" s="96"/>
      <c r="J48" s="96" t="n">
        <v>1</v>
      </c>
      <c r="K48" s="78" t="n">
        <v>2</v>
      </c>
      <c r="L48" s="96" t="n">
        <f aca="false">ROUNDUP(K48/4,0)</f>
        <v>1</v>
      </c>
      <c r="M48" s="96" t="n">
        <f aca="false">I48+L48</f>
        <v>1</v>
      </c>
      <c r="N48" s="96" t="n">
        <f aca="false">J48</f>
        <v>1</v>
      </c>
      <c r="O48" s="1" t="s">
        <v>179</v>
      </c>
      <c r="P48" s="1" t="s">
        <v>229</v>
      </c>
      <c r="Q48" s="1" t="s">
        <v>186</v>
      </c>
      <c r="S48" s="1" t="n">
        <v>10828</v>
      </c>
      <c r="T48" s="97"/>
      <c r="U48" s="97"/>
      <c r="V48" s="98" t="n">
        <v>39121</v>
      </c>
      <c r="W48" s="98"/>
      <c r="X48" s="98" t="s">
        <v>239</v>
      </c>
      <c r="Y48" s="99"/>
      <c r="Z48" s="100"/>
      <c r="AA48" s="100"/>
      <c r="AB48" s="100" t="n">
        <v>1</v>
      </c>
      <c r="AC48" s="100" t="n">
        <v>2</v>
      </c>
      <c r="AD48" s="96"/>
      <c r="AE48" s="96" t="n">
        <f aca="false">M48</f>
        <v>1</v>
      </c>
      <c r="AF48" s="96" t="n">
        <f aca="false">N48</f>
        <v>1</v>
      </c>
      <c r="AG48" s="31" t="n">
        <v>0</v>
      </c>
      <c r="AH48" s="31" t="n">
        <v>0</v>
      </c>
      <c r="AI48" s="31" t="n">
        <v>2</v>
      </c>
      <c r="AJ48" s="31" t="n">
        <v>0</v>
      </c>
      <c r="AK48" s="60" t="s">
        <v>135</v>
      </c>
      <c r="AL48" s="60" t="s">
        <v>136</v>
      </c>
      <c r="AM48" s="60" t="s">
        <v>137</v>
      </c>
      <c r="AN48" s="60" t="s">
        <v>138</v>
      </c>
    </row>
    <row r="49" customFormat="false" ht="15" hidden="false" customHeight="false" outlineLevel="0" collapsed="false">
      <c r="A49" s="1" t="n">
        <v>7</v>
      </c>
      <c r="B49" s="1" t="s">
        <v>240</v>
      </c>
      <c r="C49" s="1" t="s">
        <v>241</v>
      </c>
      <c r="D49" s="1" t="n">
        <v>6</v>
      </c>
      <c r="E49" s="78" t="str">
        <f aca="false">IF(D49&gt;8,"2 de 30h","1 de 44h")</f>
        <v>1 de 44h</v>
      </c>
      <c r="F49" s="95"/>
      <c r="G49" s="1" t="n">
        <v>1</v>
      </c>
      <c r="H49" s="60"/>
      <c r="I49" s="60"/>
      <c r="J49" s="60" t="n">
        <v>1</v>
      </c>
      <c r="K49" s="78" t="n">
        <v>0</v>
      </c>
      <c r="L49" s="60" t="n">
        <f aca="false">K49/4</f>
        <v>0</v>
      </c>
      <c r="M49" s="60" t="n">
        <f aca="false">I49+L49</f>
        <v>0</v>
      </c>
      <c r="N49" s="60" t="n">
        <f aca="false">J49</f>
        <v>1</v>
      </c>
      <c r="O49" s="1" t="s">
        <v>179</v>
      </c>
      <c r="P49" s="1" t="s">
        <v>229</v>
      </c>
      <c r="Q49" s="1" t="s">
        <v>179</v>
      </c>
      <c r="S49" s="1" t="n">
        <v>3653</v>
      </c>
      <c r="T49" s="97"/>
      <c r="U49" s="97"/>
      <c r="V49" s="98" t="n">
        <v>20610</v>
      </c>
      <c r="W49" s="98"/>
      <c r="X49" s="98" t="s">
        <v>242</v>
      </c>
      <c r="Y49" s="99"/>
      <c r="Z49" s="101"/>
      <c r="AA49" s="101"/>
      <c r="AB49" s="101"/>
      <c r="AC49" s="101" t="n">
        <v>1</v>
      </c>
      <c r="AD49" s="60"/>
      <c r="AE49" s="60" t="n">
        <f aca="false">M49</f>
        <v>0</v>
      </c>
      <c r="AF49" s="60" t="n">
        <f aca="false">N49</f>
        <v>1</v>
      </c>
      <c r="AG49" s="102" t="n">
        <v>0</v>
      </c>
      <c r="AH49" s="102" t="n">
        <v>0</v>
      </c>
      <c r="AI49" s="102" t="n">
        <v>1</v>
      </c>
      <c r="AJ49" s="102" t="n">
        <v>0</v>
      </c>
      <c r="AK49" s="60" t="s">
        <v>135</v>
      </c>
      <c r="AL49" s="60" t="s">
        <v>136</v>
      </c>
      <c r="AM49" s="60" t="s">
        <v>137</v>
      </c>
      <c r="AN49" s="60" t="s">
        <v>138</v>
      </c>
    </row>
    <row r="50" customFormat="false" ht="15" hidden="false" customHeight="false" outlineLevel="0" collapsed="false">
      <c r="A50" s="1" t="n">
        <v>8</v>
      </c>
      <c r="B50" s="1" t="s">
        <v>243</v>
      </c>
      <c r="C50" s="1" t="s">
        <v>238</v>
      </c>
      <c r="D50" s="1" t="n">
        <v>5</v>
      </c>
      <c r="E50" s="78" t="str">
        <f aca="false">IF(D50&gt;8,"2 de 30h","1 de 44h")</f>
        <v>1 de 44h</v>
      </c>
      <c r="F50" s="95"/>
      <c r="G50" s="1" t="n">
        <v>1</v>
      </c>
      <c r="H50" s="96"/>
      <c r="I50" s="96"/>
      <c r="J50" s="96" t="n">
        <v>1</v>
      </c>
      <c r="K50" s="78" t="n">
        <v>0</v>
      </c>
      <c r="L50" s="96" t="n">
        <f aca="false">K50/4</f>
        <v>0</v>
      </c>
      <c r="M50" s="96" t="n">
        <f aca="false">I50+L50</f>
        <v>0</v>
      </c>
      <c r="N50" s="96" t="n">
        <f aca="false">J50</f>
        <v>1</v>
      </c>
      <c r="O50" s="1" t="s">
        <v>179</v>
      </c>
      <c r="P50" s="1" t="s">
        <v>229</v>
      </c>
      <c r="Q50" s="1" t="s">
        <v>179</v>
      </c>
      <c r="S50" s="1" t="n">
        <v>2495</v>
      </c>
      <c r="T50" s="97"/>
      <c r="U50" s="97"/>
      <c r="V50" s="98" t="n">
        <v>23886</v>
      </c>
      <c r="W50" s="98"/>
      <c r="X50" s="98" t="s">
        <v>244</v>
      </c>
      <c r="Y50" s="99"/>
      <c r="Z50" s="100"/>
      <c r="AA50" s="100"/>
      <c r="AB50" s="100"/>
      <c r="AC50" s="100" t="n">
        <v>1</v>
      </c>
      <c r="AD50" s="96"/>
      <c r="AE50" s="96" t="n">
        <f aca="false">M50</f>
        <v>0</v>
      </c>
      <c r="AF50" s="96" t="n">
        <f aca="false">N50</f>
        <v>1</v>
      </c>
      <c r="AG50" s="31" t="n">
        <v>0</v>
      </c>
      <c r="AH50" s="31" t="n">
        <v>0</v>
      </c>
      <c r="AI50" s="31" t="n">
        <v>1</v>
      </c>
      <c r="AJ50" s="31" t="n">
        <v>0</v>
      </c>
      <c r="AK50" s="60" t="s">
        <v>135</v>
      </c>
      <c r="AL50" s="60" t="s">
        <v>136</v>
      </c>
      <c r="AM50" s="60" t="s">
        <v>137</v>
      </c>
      <c r="AN50" s="60" t="s">
        <v>138</v>
      </c>
    </row>
    <row r="51" customFormat="false" ht="15" hidden="false" customHeight="false" outlineLevel="0" collapsed="false">
      <c r="A51" s="1" t="n">
        <v>9</v>
      </c>
      <c r="B51" s="1" t="s">
        <v>245</v>
      </c>
      <c r="C51" s="1" t="s">
        <v>238</v>
      </c>
      <c r="D51" s="1" t="n">
        <v>5</v>
      </c>
      <c r="E51" s="78" t="str">
        <f aca="false">IF(D51&gt;8,"2 de 30h","1 de 44h")</f>
        <v>1 de 44h</v>
      </c>
      <c r="F51" s="95"/>
      <c r="G51" s="1" t="n">
        <v>1</v>
      </c>
      <c r="H51" s="60"/>
      <c r="I51" s="60"/>
      <c r="J51" s="60" t="n">
        <v>1</v>
      </c>
      <c r="K51" s="78" t="n">
        <v>0</v>
      </c>
      <c r="L51" s="60" t="n">
        <f aca="false">K51/4</f>
        <v>0</v>
      </c>
      <c r="M51" s="60" t="n">
        <f aca="false">I51+L51</f>
        <v>0</v>
      </c>
      <c r="N51" s="60" t="n">
        <f aca="false">J51</f>
        <v>1</v>
      </c>
      <c r="O51" s="1" t="s">
        <v>179</v>
      </c>
      <c r="P51" s="1" t="s">
        <v>229</v>
      </c>
      <c r="Q51" s="1" t="s">
        <v>179</v>
      </c>
      <c r="S51" s="1" t="n">
        <v>5046</v>
      </c>
      <c r="T51" s="97"/>
      <c r="U51" s="97"/>
      <c r="V51" s="98" t="n">
        <v>42707</v>
      </c>
      <c r="W51" s="98"/>
      <c r="X51" s="98" t="s">
        <v>171</v>
      </c>
      <c r="Y51" s="99"/>
      <c r="Z51" s="101"/>
      <c r="AA51" s="101"/>
      <c r="AB51" s="101"/>
      <c r="AC51" s="101" t="n">
        <v>1</v>
      </c>
      <c r="AD51" s="60"/>
      <c r="AE51" s="60" t="n">
        <f aca="false">M51</f>
        <v>0</v>
      </c>
      <c r="AF51" s="60" t="n">
        <f aca="false">N51</f>
        <v>1</v>
      </c>
      <c r="AG51" s="102" t="n">
        <v>0</v>
      </c>
      <c r="AH51" s="102" t="n">
        <v>0</v>
      </c>
      <c r="AI51" s="102" t="n">
        <v>1</v>
      </c>
      <c r="AJ51" s="102" t="n">
        <v>0</v>
      </c>
      <c r="AK51" s="60" t="s">
        <v>135</v>
      </c>
      <c r="AL51" s="60" t="s">
        <v>136</v>
      </c>
      <c r="AM51" s="60" t="s">
        <v>137</v>
      </c>
      <c r="AN51" s="60" t="s">
        <v>138</v>
      </c>
    </row>
    <row r="52" customFormat="false" ht="15" hidden="false" customHeight="false" outlineLevel="0" collapsed="false">
      <c r="A52" s="1" t="n">
        <v>10</v>
      </c>
      <c r="B52" s="1" t="s">
        <v>246</v>
      </c>
      <c r="C52" s="1" t="s">
        <v>228</v>
      </c>
      <c r="D52" s="1" t="n">
        <v>6</v>
      </c>
      <c r="E52" s="78" t="str">
        <f aca="false">IF(D52&gt;8,"2 de 30h","1 de 44h")</f>
        <v>1 de 44h</v>
      </c>
      <c r="F52" s="95"/>
      <c r="G52" s="1" t="n">
        <v>1</v>
      </c>
      <c r="H52" s="96"/>
      <c r="I52" s="96"/>
      <c r="J52" s="96" t="n">
        <v>1</v>
      </c>
      <c r="K52" s="78" t="n">
        <v>0</v>
      </c>
      <c r="L52" s="96" t="n">
        <f aca="false">K52/4</f>
        <v>0</v>
      </c>
      <c r="M52" s="96" t="n">
        <f aca="false">I52+L52</f>
        <v>0</v>
      </c>
      <c r="N52" s="96" t="n">
        <f aca="false">J52</f>
        <v>1</v>
      </c>
      <c r="O52" s="1" t="s">
        <v>186</v>
      </c>
      <c r="P52" s="1" t="s">
        <v>186</v>
      </c>
      <c r="S52" s="1" t="n">
        <v>39501</v>
      </c>
      <c r="T52" s="97"/>
      <c r="U52" s="97"/>
      <c r="V52" s="98"/>
      <c r="W52" s="98"/>
      <c r="X52" s="98"/>
      <c r="Y52" s="99"/>
      <c r="Z52" s="100"/>
      <c r="AA52" s="100"/>
      <c r="AB52" s="100" t="n">
        <v>2</v>
      </c>
      <c r="AC52" s="100"/>
      <c r="AD52" s="96"/>
      <c r="AE52" s="96" t="n">
        <f aca="false">M52</f>
        <v>0</v>
      </c>
      <c r="AF52" s="96" t="n">
        <f aca="false">N52</f>
        <v>1</v>
      </c>
      <c r="AG52" s="31" t="n">
        <v>0</v>
      </c>
      <c r="AH52" s="31" t="n">
        <v>0</v>
      </c>
      <c r="AI52" s="31" t="n">
        <v>1</v>
      </c>
      <c r="AJ52" s="31" t="n">
        <v>0</v>
      </c>
      <c r="AK52" s="60" t="s">
        <v>135</v>
      </c>
      <c r="AL52" s="60" t="s">
        <v>136</v>
      </c>
      <c r="AM52" s="60" t="s">
        <v>137</v>
      </c>
      <c r="AN52" s="60" t="s">
        <v>138</v>
      </c>
    </row>
    <row r="53" customFormat="false" ht="15" hidden="false" customHeight="false" outlineLevel="0" collapsed="false">
      <c r="A53" s="1" t="n">
        <v>11</v>
      </c>
      <c r="B53" s="1" t="s">
        <v>247</v>
      </c>
      <c r="C53" s="1" t="s">
        <v>248</v>
      </c>
      <c r="D53" s="1" t="n">
        <v>12</v>
      </c>
      <c r="E53" s="78" t="str">
        <f aca="false">IF(D53&gt;8,"2 de 30h","1 de 44h")</f>
        <v>2 de 30h</v>
      </c>
      <c r="F53" s="95" t="s">
        <v>249</v>
      </c>
      <c r="G53" s="1" t="n">
        <v>1</v>
      </c>
      <c r="H53" s="60"/>
      <c r="I53" s="60" t="n">
        <v>2</v>
      </c>
      <c r="J53" s="60"/>
      <c r="K53" s="78" t="n">
        <v>10</v>
      </c>
      <c r="L53" s="60" t="n">
        <f aca="false">ROUNDUP(K53/4,0)</f>
        <v>3</v>
      </c>
      <c r="M53" s="60" t="n">
        <f aca="false">I53+L53</f>
        <v>5</v>
      </c>
      <c r="N53" s="60" t="n">
        <f aca="false">J53</f>
        <v>0</v>
      </c>
      <c r="O53" s="1" t="s">
        <v>179</v>
      </c>
      <c r="P53" s="1" t="s">
        <v>224</v>
      </c>
      <c r="Q53" s="1" t="s">
        <v>186</v>
      </c>
      <c r="S53" s="1" t="n">
        <v>45639</v>
      </c>
      <c r="T53" s="97"/>
      <c r="U53" s="97"/>
      <c r="V53" s="98"/>
      <c r="W53" s="98"/>
      <c r="X53" s="98"/>
      <c r="Y53" s="99"/>
      <c r="Z53" s="101"/>
      <c r="AA53" s="101"/>
      <c r="AB53" s="101"/>
      <c r="AC53" s="101" t="n">
        <v>4</v>
      </c>
      <c r="AD53" s="60"/>
      <c r="AE53" s="60" t="n">
        <f aca="false">M53</f>
        <v>5</v>
      </c>
      <c r="AF53" s="60" t="n">
        <f aca="false">N53</f>
        <v>0</v>
      </c>
      <c r="AG53" s="102" t="n">
        <v>0</v>
      </c>
      <c r="AH53" s="102" t="n">
        <v>0</v>
      </c>
      <c r="AI53" s="102" t="n">
        <v>0</v>
      </c>
      <c r="AJ53" s="102" t="n">
        <v>4</v>
      </c>
      <c r="AK53" s="60" t="s">
        <v>135</v>
      </c>
      <c r="AL53" s="60" t="s">
        <v>136</v>
      </c>
      <c r="AM53" s="60" t="s">
        <v>137</v>
      </c>
      <c r="AN53" s="60" t="s">
        <v>138</v>
      </c>
    </row>
    <row r="54" customFormat="false" ht="15" hidden="false" customHeight="false" outlineLevel="0" collapsed="false">
      <c r="A54" s="1" t="n">
        <v>12</v>
      </c>
      <c r="B54" s="1" t="s">
        <v>250</v>
      </c>
      <c r="C54" s="1" t="s">
        <v>228</v>
      </c>
      <c r="D54" s="1" t="n">
        <v>6</v>
      </c>
      <c r="E54" s="78" t="str">
        <f aca="false">IF(D54&gt;8,"2 de 30h","1 de 44h")</f>
        <v>1 de 44h</v>
      </c>
      <c r="F54" s="95"/>
      <c r="G54" s="1" t="n">
        <v>1</v>
      </c>
      <c r="H54" s="96"/>
      <c r="I54" s="96"/>
      <c r="J54" s="96" t="n">
        <v>1</v>
      </c>
      <c r="K54" s="78" t="n">
        <v>0</v>
      </c>
      <c r="L54" s="96" t="n">
        <f aca="false">K54/4</f>
        <v>0</v>
      </c>
      <c r="M54" s="96" t="n">
        <f aca="false">I54+L54</f>
        <v>0</v>
      </c>
      <c r="N54" s="96" t="n">
        <f aca="false">J54</f>
        <v>1</v>
      </c>
      <c r="O54" s="1" t="s">
        <v>186</v>
      </c>
      <c r="P54" s="1" t="s">
        <v>186</v>
      </c>
      <c r="S54" s="1" t="n">
        <v>11834</v>
      </c>
      <c r="T54" s="97"/>
      <c r="U54" s="97"/>
      <c r="V54" s="98" t="n">
        <v>57862</v>
      </c>
      <c r="W54" s="98"/>
      <c r="X54" s="98" t="s">
        <v>251</v>
      </c>
      <c r="Y54" s="99"/>
      <c r="Z54" s="100"/>
      <c r="AA54" s="100"/>
      <c r="AB54" s="100" t="n">
        <v>2</v>
      </c>
      <c r="AC54" s="100"/>
      <c r="AD54" s="96"/>
      <c r="AE54" s="96" t="n">
        <f aca="false">M54</f>
        <v>0</v>
      </c>
      <c r="AF54" s="96" t="n">
        <f aca="false">N54</f>
        <v>1</v>
      </c>
      <c r="AG54" s="31" t="n">
        <v>0</v>
      </c>
      <c r="AH54" s="31" t="n">
        <v>0</v>
      </c>
      <c r="AI54" s="31" t="n">
        <v>1</v>
      </c>
      <c r="AJ54" s="31" t="n">
        <v>0</v>
      </c>
      <c r="AK54" s="60" t="s">
        <v>135</v>
      </c>
      <c r="AL54" s="60" t="s">
        <v>136</v>
      </c>
      <c r="AM54" s="60" t="s">
        <v>137</v>
      </c>
      <c r="AN54" s="60" t="s">
        <v>138</v>
      </c>
    </row>
    <row r="55" customFormat="false" ht="15" hidden="false" customHeight="false" outlineLevel="0" collapsed="false">
      <c r="A55" s="1" t="n">
        <v>13</v>
      </c>
      <c r="B55" s="1" t="s">
        <v>252</v>
      </c>
      <c r="C55" s="1" t="s">
        <v>228</v>
      </c>
      <c r="D55" s="1" t="n">
        <v>6</v>
      </c>
      <c r="E55" s="78" t="str">
        <f aca="false">IF(D55&gt;8,"2 de 30h","1 de 44h")</f>
        <v>1 de 44h</v>
      </c>
      <c r="F55" s="95" t="s">
        <v>253</v>
      </c>
      <c r="G55" s="1" t="n">
        <v>1</v>
      </c>
      <c r="H55" s="60"/>
      <c r="I55" s="60"/>
      <c r="J55" s="60" t="n">
        <v>1</v>
      </c>
      <c r="K55" s="78" t="n">
        <v>2</v>
      </c>
      <c r="L55" s="60" t="n">
        <f aca="false">ROUNDUP(K55/4,0)</f>
        <v>1</v>
      </c>
      <c r="M55" s="60" t="n">
        <f aca="false">I55+L55</f>
        <v>1</v>
      </c>
      <c r="N55" s="60" t="n">
        <f aca="false">J55</f>
        <v>1</v>
      </c>
      <c r="O55" s="1" t="s">
        <v>179</v>
      </c>
      <c r="P55" s="1" t="s">
        <v>229</v>
      </c>
      <c r="Q55" s="1" t="s">
        <v>179</v>
      </c>
      <c r="S55" s="1" t="n">
        <v>10013</v>
      </c>
      <c r="T55" s="97"/>
      <c r="U55" s="97"/>
      <c r="V55" s="98" t="n">
        <v>32184</v>
      </c>
      <c r="W55" s="98"/>
      <c r="X55" s="98" t="s">
        <v>254</v>
      </c>
      <c r="Y55" s="99"/>
      <c r="Z55" s="101"/>
      <c r="AA55" s="101"/>
      <c r="AB55" s="101"/>
      <c r="AC55" s="101" t="n">
        <v>2</v>
      </c>
      <c r="AD55" s="60"/>
      <c r="AE55" s="60" t="n">
        <f aca="false">M55</f>
        <v>1</v>
      </c>
      <c r="AF55" s="60" t="n">
        <f aca="false">N55</f>
        <v>1</v>
      </c>
      <c r="AG55" s="102" t="n">
        <v>0</v>
      </c>
      <c r="AH55" s="102" t="n">
        <v>0</v>
      </c>
      <c r="AI55" s="102" t="n">
        <v>2</v>
      </c>
      <c r="AJ55" s="102" t="n">
        <v>0</v>
      </c>
      <c r="AK55" s="60" t="s">
        <v>135</v>
      </c>
      <c r="AL55" s="60" t="s">
        <v>136</v>
      </c>
      <c r="AM55" s="60" t="s">
        <v>137</v>
      </c>
      <c r="AN55" s="60" t="s">
        <v>138</v>
      </c>
    </row>
    <row r="56" customFormat="false" ht="15" hidden="false" customHeight="false" outlineLevel="0" collapsed="false">
      <c r="A56" s="1" t="n">
        <v>14</v>
      </c>
      <c r="B56" s="1" t="s">
        <v>255</v>
      </c>
      <c r="C56" s="1" t="s">
        <v>228</v>
      </c>
      <c r="D56" s="1" t="n">
        <v>6</v>
      </c>
      <c r="E56" s="78" t="str">
        <f aca="false">IF(D56&gt;8,"2 de 30h","1 de 44h")</f>
        <v>1 de 44h</v>
      </c>
      <c r="F56" s="95"/>
      <c r="G56" s="1" t="n">
        <v>1</v>
      </c>
      <c r="H56" s="96"/>
      <c r="I56" s="96"/>
      <c r="J56" s="96" t="n">
        <v>1</v>
      </c>
      <c r="K56" s="78" t="n">
        <v>0</v>
      </c>
      <c r="L56" s="96" t="n">
        <f aca="false">K56/4</f>
        <v>0</v>
      </c>
      <c r="M56" s="96" t="n">
        <f aca="false">I56+L56</f>
        <v>0</v>
      </c>
      <c r="N56" s="96" t="n">
        <f aca="false">J56</f>
        <v>1</v>
      </c>
      <c r="O56" s="1" t="s">
        <v>186</v>
      </c>
      <c r="P56" s="1" t="s">
        <v>186</v>
      </c>
      <c r="S56" s="1" t="n">
        <v>9285</v>
      </c>
      <c r="T56" s="97"/>
      <c r="U56" s="97"/>
      <c r="V56" s="98" t="n">
        <v>96733</v>
      </c>
      <c r="W56" s="98" t="s">
        <v>256</v>
      </c>
      <c r="X56" s="98" t="s">
        <v>257</v>
      </c>
      <c r="Y56" s="99"/>
      <c r="Z56" s="100"/>
      <c r="AA56" s="100"/>
      <c r="AB56" s="100" t="n">
        <v>2</v>
      </c>
      <c r="AC56" s="100"/>
      <c r="AD56" s="96"/>
      <c r="AE56" s="96" t="n">
        <f aca="false">M56</f>
        <v>0</v>
      </c>
      <c r="AF56" s="96" t="n">
        <f aca="false">N56</f>
        <v>1</v>
      </c>
      <c r="AG56" s="31" t="n">
        <v>0</v>
      </c>
      <c r="AH56" s="31" t="n">
        <v>0</v>
      </c>
      <c r="AI56" s="31" t="n">
        <v>1</v>
      </c>
      <c r="AJ56" s="31" t="n">
        <v>0</v>
      </c>
      <c r="AK56" s="60" t="s">
        <v>135</v>
      </c>
      <c r="AL56" s="60" t="s">
        <v>136</v>
      </c>
      <c r="AM56" s="60" t="s">
        <v>137</v>
      </c>
      <c r="AN56" s="60" t="s">
        <v>138</v>
      </c>
    </row>
    <row r="57" customFormat="false" ht="9" hidden="false" customHeight="true" outlineLevel="0" collapsed="false">
      <c r="A57" s="106"/>
      <c r="B57" s="106"/>
      <c r="C57" s="106"/>
      <c r="D57" s="106"/>
      <c r="E57" s="107"/>
      <c r="F57" s="107"/>
      <c r="G57" s="106"/>
      <c r="H57" s="108"/>
      <c r="I57" s="108"/>
      <c r="J57" s="108"/>
      <c r="K57" s="107"/>
      <c r="L57" s="108"/>
      <c r="M57" s="108"/>
      <c r="N57" s="108"/>
      <c r="O57" s="106"/>
      <c r="P57" s="106"/>
      <c r="Q57" s="106"/>
      <c r="R57" s="106"/>
      <c r="S57" s="106"/>
      <c r="T57" s="109"/>
      <c r="U57" s="109"/>
      <c r="V57" s="109"/>
      <c r="W57" s="109"/>
      <c r="X57" s="109"/>
      <c r="Y57" s="109"/>
      <c r="Z57" s="110"/>
      <c r="AA57" s="110"/>
      <c r="AB57" s="110"/>
      <c r="AC57" s="110"/>
      <c r="AD57" s="108"/>
      <c r="AE57" s="108"/>
      <c r="AF57" s="108"/>
      <c r="AG57" s="108"/>
      <c r="AH57" s="108"/>
      <c r="AI57" s="108"/>
      <c r="AJ57" s="108"/>
      <c r="AK57" s="108"/>
      <c r="AL57" s="108"/>
      <c r="AM57" s="108"/>
      <c r="AN57" s="108"/>
    </row>
    <row r="58" customFormat="false" ht="15" hidden="false" customHeight="false" outlineLevel="0" collapsed="false">
      <c r="A58" s="1" t="n">
        <v>1</v>
      </c>
      <c r="B58" s="1" t="s">
        <v>258</v>
      </c>
      <c r="C58" s="1" t="s">
        <v>140</v>
      </c>
      <c r="F58" s="95"/>
      <c r="H58" s="96"/>
      <c r="I58" s="96" t="n">
        <v>2</v>
      </c>
      <c r="J58" s="96"/>
      <c r="K58" s="78" t="n">
        <v>0</v>
      </c>
      <c r="L58" s="96" t="n">
        <f aca="false">K58/4</f>
        <v>0</v>
      </c>
      <c r="M58" s="96" t="n">
        <f aca="false">I58+L58</f>
        <v>2</v>
      </c>
      <c r="N58" s="96" t="n">
        <f aca="false">J58</f>
        <v>0</v>
      </c>
      <c r="S58" s="1" t="n">
        <v>166968</v>
      </c>
      <c r="T58" s="97"/>
      <c r="U58" s="97"/>
      <c r="V58" s="98" t="n">
        <v>357077</v>
      </c>
      <c r="W58" s="98" t="s">
        <v>259</v>
      </c>
      <c r="X58" s="98" t="s">
        <v>260</v>
      </c>
      <c r="Y58" s="99"/>
      <c r="Z58" s="100"/>
      <c r="AA58" s="100"/>
      <c r="AB58" s="100"/>
      <c r="AC58" s="100" t="n">
        <v>1</v>
      </c>
      <c r="AD58" s="96" t="n">
        <f aca="false">H58</f>
        <v>0</v>
      </c>
      <c r="AE58" s="96" t="n">
        <f aca="false">M58</f>
        <v>2</v>
      </c>
      <c r="AF58" s="96" t="n">
        <f aca="false">N58</f>
        <v>0</v>
      </c>
      <c r="AG58" s="31" t="n">
        <v>0</v>
      </c>
      <c r="AH58" s="31" t="n">
        <v>0</v>
      </c>
      <c r="AI58" s="31" t="n">
        <v>2</v>
      </c>
      <c r="AJ58" s="31" t="n">
        <v>0</v>
      </c>
      <c r="AK58" s="60" t="s">
        <v>135</v>
      </c>
      <c r="AL58" s="60" t="s">
        <v>136</v>
      </c>
      <c r="AM58" s="60" t="s">
        <v>137</v>
      </c>
      <c r="AN58" s="60" t="s">
        <v>138</v>
      </c>
    </row>
    <row r="59" customFormat="false" ht="15" hidden="false" customHeight="false" outlineLevel="0" collapsed="false">
      <c r="A59" s="1" t="n">
        <v>2</v>
      </c>
      <c r="B59" s="1" t="s">
        <v>261</v>
      </c>
      <c r="C59" s="1" t="s">
        <v>184</v>
      </c>
      <c r="D59" s="1" t="n">
        <v>10</v>
      </c>
      <c r="E59" s="78" t="str">
        <f aca="false">IF(D59&gt;8,"2 de 30h","1 de 44h")</f>
        <v>2 de 30h</v>
      </c>
      <c r="F59" s="95"/>
      <c r="G59" s="1" t="n">
        <v>1</v>
      </c>
      <c r="H59" s="60"/>
      <c r="I59" s="60" t="n">
        <v>2</v>
      </c>
      <c r="J59" s="60"/>
      <c r="K59" s="78" t="n">
        <v>3</v>
      </c>
      <c r="L59" s="60" t="n">
        <f aca="false">ROUNDUP(K59/4,0)</f>
        <v>1</v>
      </c>
      <c r="M59" s="60" t="n">
        <f aca="false">I59+L59</f>
        <v>3</v>
      </c>
      <c r="N59" s="60" t="n">
        <f aca="false">J59</f>
        <v>0</v>
      </c>
      <c r="O59" s="1" t="s">
        <v>129</v>
      </c>
      <c r="P59" s="1" t="s">
        <v>130</v>
      </c>
      <c r="Q59" s="1" t="s">
        <v>262</v>
      </c>
      <c r="R59" s="1" t="s">
        <v>263</v>
      </c>
      <c r="S59" s="1" t="n">
        <v>20207</v>
      </c>
      <c r="T59" s="97"/>
      <c r="U59" s="97"/>
      <c r="V59" s="98" t="n">
        <v>87194</v>
      </c>
      <c r="W59" s="98"/>
      <c r="X59" s="98" t="s">
        <v>264</v>
      </c>
      <c r="Y59" s="99"/>
      <c r="Z59" s="101"/>
      <c r="AA59" s="101"/>
      <c r="AB59" s="101" t="n">
        <v>2</v>
      </c>
      <c r="AC59" s="101" t="n">
        <v>1</v>
      </c>
      <c r="AD59" s="60"/>
      <c r="AE59" s="60" t="n">
        <f aca="false">M59</f>
        <v>3</v>
      </c>
      <c r="AF59" s="60" t="n">
        <f aca="false">N59</f>
        <v>0</v>
      </c>
      <c r="AG59" s="102" t="n">
        <v>0</v>
      </c>
      <c r="AH59" s="102" t="n">
        <v>0</v>
      </c>
      <c r="AI59" s="102" t="n">
        <v>2</v>
      </c>
      <c r="AJ59" s="102" t="n">
        <v>0</v>
      </c>
      <c r="AK59" s="60" t="s">
        <v>135</v>
      </c>
      <c r="AL59" s="60" t="s">
        <v>136</v>
      </c>
      <c r="AM59" s="60" t="s">
        <v>137</v>
      </c>
      <c r="AN59" s="60" t="s">
        <v>138</v>
      </c>
    </row>
    <row r="60" customFormat="false" ht="15" hidden="false" customHeight="false" outlineLevel="0" collapsed="false">
      <c r="A60" s="1" t="n">
        <v>3</v>
      </c>
      <c r="B60" s="1" t="s">
        <v>265</v>
      </c>
      <c r="C60" s="1" t="s">
        <v>197</v>
      </c>
      <c r="D60" s="1" t="n">
        <v>10</v>
      </c>
      <c r="E60" s="78" t="str">
        <f aca="false">IF(D60&gt;8,"2 de 30h","1 de 44h")</f>
        <v>2 de 30h</v>
      </c>
      <c r="F60" s="95"/>
      <c r="G60" s="1" t="n">
        <v>1</v>
      </c>
      <c r="H60" s="96"/>
      <c r="I60" s="96" t="n">
        <v>2</v>
      </c>
      <c r="J60" s="96"/>
      <c r="K60" s="78" t="n">
        <v>2</v>
      </c>
      <c r="L60" s="96" t="n">
        <f aca="false">ROUNDUP(K60/4,0)</f>
        <v>1</v>
      </c>
      <c r="M60" s="96" t="n">
        <f aca="false">I60+L60</f>
        <v>3</v>
      </c>
      <c r="N60" s="96" t="n">
        <f aca="false">J60</f>
        <v>0</v>
      </c>
      <c r="O60" s="1" t="s">
        <v>129</v>
      </c>
      <c r="P60" s="1" t="s">
        <v>130</v>
      </c>
      <c r="Q60" s="1" t="s">
        <v>263</v>
      </c>
      <c r="R60" s="1" t="s">
        <v>263</v>
      </c>
      <c r="S60" s="1" t="n">
        <v>13949</v>
      </c>
      <c r="T60" s="97"/>
      <c r="U60" s="97"/>
      <c r="V60" s="98" t="n">
        <v>69958</v>
      </c>
      <c r="W60" s="98"/>
      <c r="X60" s="98" t="s">
        <v>266</v>
      </c>
      <c r="Y60" s="99"/>
      <c r="Z60" s="100"/>
      <c r="AA60" s="100"/>
      <c r="AB60" s="100" t="n">
        <v>2</v>
      </c>
      <c r="AC60" s="100" t="n">
        <v>1</v>
      </c>
      <c r="AD60" s="96"/>
      <c r="AE60" s="96" t="n">
        <f aca="false">M60</f>
        <v>3</v>
      </c>
      <c r="AF60" s="96" t="n">
        <f aca="false">N60</f>
        <v>0</v>
      </c>
      <c r="AG60" s="31" t="n">
        <v>0</v>
      </c>
      <c r="AH60" s="31" t="n">
        <v>0</v>
      </c>
      <c r="AI60" s="31" t="n">
        <v>3</v>
      </c>
      <c r="AJ60" s="31" t="n">
        <v>0</v>
      </c>
      <c r="AK60" s="60" t="s">
        <v>135</v>
      </c>
      <c r="AL60" s="60" t="s">
        <v>136</v>
      </c>
      <c r="AM60" s="60" t="s">
        <v>137</v>
      </c>
      <c r="AN60" s="60" t="s">
        <v>138</v>
      </c>
    </row>
    <row r="61" customFormat="false" ht="15" hidden="false" customHeight="false" outlineLevel="0" collapsed="false">
      <c r="A61" s="1" t="n">
        <v>4</v>
      </c>
      <c r="B61" s="1" t="s">
        <v>267</v>
      </c>
      <c r="C61" s="1" t="s">
        <v>197</v>
      </c>
      <c r="D61" s="1" t="n">
        <v>10</v>
      </c>
      <c r="E61" s="78" t="str">
        <f aca="false">IF(D61&gt;8,"2 de 30h","1 de 44h")</f>
        <v>2 de 30h</v>
      </c>
      <c r="F61" s="95"/>
      <c r="G61" s="1" t="n">
        <v>1</v>
      </c>
      <c r="H61" s="60"/>
      <c r="I61" s="60" t="n">
        <v>2</v>
      </c>
      <c r="J61" s="60"/>
      <c r="K61" s="78" t="n">
        <v>0</v>
      </c>
      <c r="L61" s="60" t="n">
        <f aca="false">K61/4</f>
        <v>0</v>
      </c>
      <c r="M61" s="60" t="n">
        <f aca="false">I61+L61</f>
        <v>2</v>
      </c>
      <c r="N61" s="60" t="n">
        <f aca="false">J61</f>
        <v>0</v>
      </c>
      <c r="O61" s="1" t="s">
        <v>129</v>
      </c>
      <c r="P61" s="1" t="s">
        <v>130</v>
      </c>
      <c r="Q61" s="1" t="s">
        <v>263</v>
      </c>
      <c r="R61" s="1" t="s">
        <v>263</v>
      </c>
      <c r="S61" s="1" t="n">
        <v>4883</v>
      </c>
      <c r="T61" s="97"/>
      <c r="U61" s="97"/>
      <c r="V61" s="98" t="n">
        <v>29018</v>
      </c>
      <c r="W61" s="98"/>
      <c r="X61" s="98" t="s">
        <v>268</v>
      </c>
      <c r="Y61" s="99"/>
      <c r="Z61" s="101"/>
      <c r="AA61" s="101"/>
      <c r="AB61" s="101"/>
      <c r="AC61" s="101" t="n">
        <v>1</v>
      </c>
      <c r="AD61" s="60"/>
      <c r="AE61" s="60" t="n">
        <f aca="false">M61</f>
        <v>2</v>
      </c>
      <c r="AF61" s="60" t="n">
        <f aca="false">N61</f>
        <v>0</v>
      </c>
      <c r="AG61" s="102" t="n">
        <v>0</v>
      </c>
      <c r="AH61" s="102" t="n">
        <v>0</v>
      </c>
      <c r="AI61" s="102" t="n">
        <v>3</v>
      </c>
      <c r="AJ61" s="102" t="n">
        <v>0</v>
      </c>
      <c r="AK61" s="60" t="s">
        <v>135</v>
      </c>
      <c r="AL61" s="60" t="s">
        <v>136</v>
      </c>
      <c r="AM61" s="60" t="s">
        <v>137</v>
      </c>
      <c r="AN61" s="60" t="s">
        <v>138</v>
      </c>
    </row>
    <row r="62" customFormat="false" ht="15" hidden="false" customHeight="false" outlineLevel="0" collapsed="false">
      <c r="A62" s="1" t="n">
        <v>5</v>
      </c>
      <c r="B62" s="1" t="s">
        <v>269</v>
      </c>
      <c r="C62" s="1" t="s">
        <v>184</v>
      </c>
      <c r="D62" s="1" t="n">
        <v>10</v>
      </c>
      <c r="E62" s="78" t="str">
        <f aca="false">IF(D62&gt;8,"2 de 30h","1 de 44h")</f>
        <v>2 de 30h</v>
      </c>
      <c r="F62" s="95"/>
      <c r="G62" s="1" t="n">
        <v>1</v>
      </c>
      <c r="H62" s="96"/>
      <c r="I62" s="96" t="n">
        <v>2</v>
      </c>
      <c r="J62" s="96"/>
      <c r="K62" s="78" t="n">
        <v>0</v>
      </c>
      <c r="L62" s="96" t="n">
        <f aca="false">K62/4</f>
        <v>0</v>
      </c>
      <c r="M62" s="96" t="n">
        <f aca="false">I62+L62</f>
        <v>2</v>
      </c>
      <c r="N62" s="96" t="n">
        <f aca="false">J62</f>
        <v>0</v>
      </c>
      <c r="O62" s="1" t="s">
        <v>129</v>
      </c>
      <c r="P62" s="1" t="s">
        <v>130</v>
      </c>
      <c r="Q62" s="1" t="s">
        <v>263</v>
      </c>
      <c r="R62" s="1" t="s">
        <v>263</v>
      </c>
      <c r="S62" s="1" t="n">
        <v>7638</v>
      </c>
      <c r="T62" s="97"/>
      <c r="U62" s="97"/>
      <c r="V62" s="98" t="n">
        <v>21201</v>
      </c>
      <c r="W62" s="98"/>
      <c r="X62" s="98" t="s">
        <v>242</v>
      </c>
      <c r="Y62" s="99"/>
      <c r="Z62" s="100"/>
      <c r="AA62" s="100"/>
      <c r="AB62" s="100" t="n">
        <v>1</v>
      </c>
      <c r="AC62" s="100" t="n">
        <v>1</v>
      </c>
      <c r="AD62" s="96"/>
      <c r="AE62" s="96" t="n">
        <f aca="false">M62</f>
        <v>2</v>
      </c>
      <c r="AF62" s="96" t="n">
        <f aca="false">N62</f>
        <v>0</v>
      </c>
      <c r="AG62" s="31" t="n">
        <v>0</v>
      </c>
      <c r="AH62" s="31" t="n">
        <v>0</v>
      </c>
      <c r="AI62" s="31" t="n">
        <v>2</v>
      </c>
      <c r="AJ62" s="31" t="n">
        <v>0</v>
      </c>
      <c r="AK62" s="60" t="s">
        <v>135</v>
      </c>
      <c r="AL62" s="60" t="s">
        <v>136</v>
      </c>
      <c r="AM62" s="60" t="s">
        <v>137</v>
      </c>
      <c r="AN62" s="60" t="s">
        <v>138</v>
      </c>
    </row>
    <row r="63" customFormat="false" ht="15" hidden="false" customHeight="false" outlineLevel="0" collapsed="false">
      <c r="A63" s="1" t="n">
        <v>6</v>
      </c>
      <c r="B63" s="1" t="s">
        <v>270</v>
      </c>
      <c r="C63" s="1" t="s">
        <v>184</v>
      </c>
      <c r="D63" s="1" t="n">
        <v>10</v>
      </c>
      <c r="E63" s="78" t="str">
        <f aca="false">IF(D63&gt;8,"2 de 30h","1 de 44h")</f>
        <v>2 de 30h</v>
      </c>
      <c r="F63" s="95"/>
      <c r="G63" s="1" t="n">
        <v>1</v>
      </c>
      <c r="H63" s="60"/>
      <c r="I63" s="60" t="n">
        <v>2</v>
      </c>
      <c r="J63" s="60"/>
      <c r="K63" s="78" t="n">
        <v>9</v>
      </c>
      <c r="L63" s="60" t="n">
        <f aca="false">ROUNDUP(K63/4,0)</f>
        <v>3</v>
      </c>
      <c r="M63" s="60" t="n">
        <f aca="false">I63+L63</f>
        <v>5</v>
      </c>
      <c r="N63" s="60" t="n">
        <f aca="false">J63</f>
        <v>0</v>
      </c>
      <c r="O63" s="1" t="s">
        <v>131</v>
      </c>
      <c r="S63" s="1" t="n">
        <v>49766</v>
      </c>
      <c r="T63" s="97" t="s">
        <v>132</v>
      </c>
      <c r="U63" s="97"/>
      <c r="V63" s="98"/>
      <c r="W63" s="98"/>
      <c r="X63" s="98"/>
      <c r="Y63" s="99" t="s">
        <v>132</v>
      </c>
      <c r="Z63" s="101" t="n">
        <v>1</v>
      </c>
      <c r="AA63" s="101" t="n">
        <v>1</v>
      </c>
      <c r="AB63" s="101"/>
      <c r="AC63" s="101" t="n">
        <v>1</v>
      </c>
      <c r="AD63" s="60"/>
      <c r="AE63" s="60" t="n">
        <f aca="false">M63</f>
        <v>5</v>
      </c>
      <c r="AF63" s="60" t="n">
        <f aca="false">N63</f>
        <v>0</v>
      </c>
      <c r="AG63" s="102" t="n">
        <v>0</v>
      </c>
      <c r="AH63" s="102" t="n">
        <v>1</v>
      </c>
      <c r="AI63" s="102" t="n">
        <v>5</v>
      </c>
      <c r="AJ63" s="102" t="n">
        <v>0</v>
      </c>
      <c r="AK63" s="60" t="s">
        <v>135</v>
      </c>
      <c r="AL63" s="60" t="s">
        <v>136</v>
      </c>
      <c r="AM63" s="60" t="s">
        <v>137</v>
      </c>
      <c r="AN63" s="60" t="s">
        <v>138</v>
      </c>
    </row>
    <row r="64" customFormat="false" ht="15" hidden="false" customHeight="false" outlineLevel="0" collapsed="false">
      <c r="A64" s="1" t="n">
        <v>7</v>
      </c>
      <c r="B64" s="1" t="s">
        <v>271</v>
      </c>
      <c r="C64" s="1" t="s">
        <v>197</v>
      </c>
      <c r="D64" s="1" t="n">
        <v>10</v>
      </c>
      <c r="E64" s="78" t="str">
        <f aca="false">IF(D64&gt;8,"2 de 30h","1 de 44h")</f>
        <v>2 de 30h</v>
      </c>
      <c r="F64" s="95"/>
      <c r="G64" s="1" t="n">
        <v>1</v>
      </c>
      <c r="H64" s="96"/>
      <c r="I64" s="96" t="n">
        <v>2</v>
      </c>
      <c r="J64" s="96"/>
      <c r="K64" s="78" t="n">
        <v>3</v>
      </c>
      <c r="L64" s="96" t="n">
        <f aca="false">ROUNDUP(K64/4,0)</f>
        <v>1</v>
      </c>
      <c r="M64" s="96" t="n">
        <f aca="false">I64+L64</f>
        <v>3</v>
      </c>
      <c r="N64" s="96" t="n">
        <f aca="false">J64</f>
        <v>0</v>
      </c>
      <c r="O64" s="1" t="s">
        <v>129</v>
      </c>
      <c r="P64" s="1" t="s">
        <v>185</v>
      </c>
      <c r="Q64" s="1" t="s">
        <v>262</v>
      </c>
      <c r="R64" s="1" t="s">
        <v>262</v>
      </c>
      <c r="S64" s="1" t="n">
        <v>20273</v>
      </c>
      <c r="T64" s="97"/>
      <c r="U64" s="97"/>
      <c r="V64" s="98" t="n">
        <v>81590</v>
      </c>
      <c r="W64" s="98"/>
      <c r="X64" s="98" t="s">
        <v>194</v>
      </c>
      <c r="Y64" s="99"/>
      <c r="Z64" s="100"/>
      <c r="AA64" s="100"/>
      <c r="AB64" s="100" t="n">
        <v>2</v>
      </c>
      <c r="AC64" s="100" t="n">
        <v>1</v>
      </c>
      <c r="AD64" s="96"/>
      <c r="AE64" s="96" t="n">
        <f aca="false">M64</f>
        <v>3</v>
      </c>
      <c r="AF64" s="96" t="n">
        <f aca="false">N64</f>
        <v>0</v>
      </c>
      <c r="AG64" s="31" t="n">
        <v>0</v>
      </c>
      <c r="AH64" s="31" t="n">
        <v>1</v>
      </c>
      <c r="AI64" s="31" t="n">
        <v>4</v>
      </c>
      <c r="AJ64" s="31" t="n">
        <v>0</v>
      </c>
      <c r="AK64" s="60" t="s">
        <v>135</v>
      </c>
      <c r="AL64" s="60" t="s">
        <v>136</v>
      </c>
      <c r="AM64" s="60" t="s">
        <v>137</v>
      </c>
      <c r="AN64" s="60" t="s">
        <v>138</v>
      </c>
    </row>
    <row r="65" customFormat="false" ht="15" hidden="false" customHeight="false" outlineLevel="0" collapsed="false">
      <c r="A65" s="1" t="n">
        <v>8</v>
      </c>
      <c r="B65" s="1" t="s">
        <v>272</v>
      </c>
      <c r="C65" s="1" t="s">
        <v>184</v>
      </c>
      <c r="D65" s="1" t="n">
        <v>10</v>
      </c>
      <c r="E65" s="78" t="str">
        <f aca="false">IF(D65&gt;8,"2 de 30h","1 de 44h")</f>
        <v>2 de 30h</v>
      </c>
      <c r="F65" s="95"/>
      <c r="G65" s="1" t="n">
        <v>1</v>
      </c>
      <c r="H65" s="60"/>
      <c r="I65" s="60" t="n">
        <v>2</v>
      </c>
      <c r="J65" s="60"/>
      <c r="K65" s="78" t="n">
        <v>3</v>
      </c>
      <c r="L65" s="60" t="n">
        <f aca="false">ROUNDUP(K65/4,0)</f>
        <v>1</v>
      </c>
      <c r="M65" s="60" t="n">
        <f aca="false">I65+L65</f>
        <v>3</v>
      </c>
      <c r="N65" s="60" t="n">
        <f aca="false">J65</f>
        <v>0</v>
      </c>
      <c r="O65" s="1" t="s">
        <v>129</v>
      </c>
      <c r="P65" s="1" t="s">
        <v>130</v>
      </c>
      <c r="Q65" s="1" t="s">
        <v>263</v>
      </c>
      <c r="R65" s="1" t="s">
        <v>263</v>
      </c>
      <c r="S65" s="1" t="n">
        <v>26059</v>
      </c>
      <c r="T65" s="97"/>
      <c r="U65" s="97"/>
      <c r="V65" s="98" t="n">
        <v>100676</v>
      </c>
      <c r="W65" s="98" t="s">
        <v>273</v>
      </c>
      <c r="X65" s="98" t="s">
        <v>274</v>
      </c>
      <c r="Y65" s="99" t="s">
        <v>132</v>
      </c>
      <c r="Z65" s="101"/>
      <c r="AA65" s="101"/>
      <c r="AB65" s="101" t="n">
        <v>2</v>
      </c>
      <c r="AC65" s="101" t="n">
        <v>1</v>
      </c>
      <c r="AD65" s="60"/>
      <c r="AE65" s="60" t="n">
        <f aca="false">M65</f>
        <v>3</v>
      </c>
      <c r="AF65" s="60" t="n">
        <f aca="false">N65</f>
        <v>0</v>
      </c>
      <c r="AG65" s="102" t="n">
        <v>0</v>
      </c>
      <c r="AH65" s="102" t="n">
        <v>0</v>
      </c>
      <c r="AI65" s="102" t="n">
        <v>4</v>
      </c>
      <c r="AJ65" s="102" t="n">
        <v>0</v>
      </c>
      <c r="AK65" s="60" t="s">
        <v>135</v>
      </c>
      <c r="AL65" s="60" t="s">
        <v>136</v>
      </c>
      <c r="AM65" s="60" t="s">
        <v>137</v>
      </c>
      <c r="AN65" s="60" t="s">
        <v>138</v>
      </c>
    </row>
    <row r="66" customFormat="false" ht="15" hidden="false" customHeight="false" outlineLevel="0" collapsed="false">
      <c r="A66" s="1" t="n">
        <v>9</v>
      </c>
      <c r="B66" s="1" t="s">
        <v>275</v>
      </c>
      <c r="C66" s="1" t="s">
        <v>203</v>
      </c>
      <c r="D66" s="1" t="n">
        <v>6</v>
      </c>
      <c r="E66" s="78" t="s">
        <v>145</v>
      </c>
      <c r="F66" s="95"/>
      <c r="G66" s="1" t="n">
        <v>1</v>
      </c>
      <c r="H66" s="96"/>
      <c r="I66" s="96" t="n">
        <v>2</v>
      </c>
      <c r="J66" s="96" t="n">
        <v>0</v>
      </c>
      <c r="K66" s="78" t="n">
        <v>0</v>
      </c>
      <c r="L66" s="96" t="n">
        <f aca="false">K66/4</f>
        <v>0</v>
      </c>
      <c r="M66" s="96" t="n">
        <f aca="false">I66+L66</f>
        <v>2</v>
      </c>
      <c r="N66" s="96" t="n">
        <f aca="false">J66</f>
        <v>0</v>
      </c>
      <c r="O66" s="1" t="s">
        <v>129</v>
      </c>
      <c r="P66" s="1" t="s">
        <v>130</v>
      </c>
      <c r="Q66" s="1" t="s">
        <v>263</v>
      </c>
      <c r="R66" s="1" t="s">
        <v>263</v>
      </c>
      <c r="S66" s="1" t="n">
        <v>5114</v>
      </c>
      <c r="T66" s="97" t="s">
        <v>132</v>
      </c>
      <c r="U66" s="97"/>
      <c r="V66" s="98" t="n">
        <v>23345</v>
      </c>
      <c r="W66" s="98"/>
      <c r="X66" s="98" t="s">
        <v>236</v>
      </c>
      <c r="Y66" s="99" t="s">
        <v>132</v>
      </c>
      <c r="Z66" s="100"/>
      <c r="AA66" s="100"/>
      <c r="AB66" s="100" t="n">
        <v>2</v>
      </c>
      <c r="AC66" s="100" t="n">
        <v>1</v>
      </c>
      <c r="AD66" s="96"/>
      <c r="AE66" s="96" t="n">
        <f aca="false">M66</f>
        <v>2</v>
      </c>
      <c r="AF66" s="96" t="n">
        <f aca="false">N66</f>
        <v>0</v>
      </c>
      <c r="AG66" s="31" t="n">
        <v>0</v>
      </c>
      <c r="AH66" s="31" t="n">
        <v>0</v>
      </c>
      <c r="AI66" s="31" t="n">
        <v>2</v>
      </c>
      <c r="AJ66" s="31" t="n">
        <v>0</v>
      </c>
      <c r="AK66" s="60" t="s">
        <v>135</v>
      </c>
      <c r="AL66" s="60" t="s">
        <v>136</v>
      </c>
      <c r="AM66" s="60" t="s">
        <v>137</v>
      </c>
      <c r="AN66" s="60" t="s">
        <v>138</v>
      </c>
    </row>
    <row r="67" customFormat="false" ht="15" hidden="false" customHeight="false" outlineLevel="0" collapsed="false">
      <c r="A67" s="1" t="n">
        <v>10</v>
      </c>
      <c r="B67" s="1" t="s">
        <v>276</v>
      </c>
      <c r="C67" s="1" t="s">
        <v>184</v>
      </c>
      <c r="D67" s="1" t="n">
        <v>10</v>
      </c>
      <c r="E67" s="78" t="str">
        <f aca="false">IF(D67&gt;8,"2 de 30h","1 de 44h")</f>
        <v>2 de 30h</v>
      </c>
      <c r="F67" s="95"/>
      <c r="G67" s="1" t="n">
        <v>1</v>
      </c>
      <c r="H67" s="60"/>
      <c r="I67" s="60" t="n">
        <v>2</v>
      </c>
      <c r="J67" s="60"/>
      <c r="K67" s="78" t="n">
        <v>0</v>
      </c>
      <c r="L67" s="60" t="n">
        <f aca="false">K67/4</f>
        <v>0</v>
      </c>
      <c r="M67" s="60" t="n">
        <f aca="false">I67+L67</f>
        <v>2</v>
      </c>
      <c r="N67" s="60" t="n">
        <f aca="false">J67</f>
        <v>0</v>
      </c>
      <c r="O67" s="1" t="s">
        <v>129</v>
      </c>
      <c r="P67" s="1" t="s">
        <v>130</v>
      </c>
      <c r="Q67" s="1" t="s">
        <v>263</v>
      </c>
      <c r="R67" s="1" t="s">
        <v>263</v>
      </c>
      <c r="S67" s="1" t="n">
        <v>3959</v>
      </c>
      <c r="T67" s="97"/>
      <c r="U67" s="97"/>
      <c r="V67" s="98" t="n">
        <v>35936</v>
      </c>
      <c r="W67" s="98"/>
      <c r="X67" s="98" t="s">
        <v>277</v>
      </c>
      <c r="Y67" s="99"/>
      <c r="Z67" s="101"/>
      <c r="AA67" s="101"/>
      <c r="AB67" s="101"/>
      <c r="AC67" s="101" t="n">
        <v>1</v>
      </c>
      <c r="AD67" s="60"/>
      <c r="AE67" s="60" t="n">
        <f aca="false">M67</f>
        <v>2</v>
      </c>
      <c r="AF67" s="60" t="n">
        <f aca="false">N67</f>
        <v>0</v>
      </c>
      <c r="AG67" s="102" t="n">
        <v>0</v>
      </c>
      <c r="AH67" s="102" t="n">
        <v>0</v>
      </c>
      <c r="AI67" s="102" t="n">
        <v>2</v>
      </c>
      <c r="AJ67" s="102" t="n">
        <v>0</v>
      </c>
      <c r="AK67" s="60" t="s">
        <v>135</v>
      </c>
      <c r="AL67" s="60" t="s">
        <v>136</v>
      </c>
      <c r="AM67" s="60" t="s">
        <v>137</v>
      </c>
      <c r="AN67" s="60" t="s">
        <v>138</v>
      </c>
    </row>
    <row r="68" customFormat="false" ht="15" hidden="false" customHeight="false" outlineLevel="0" collapsed="false">
      <c r="A68" s="1" t="n">
        <v>11</v>
      </c>
      <c r="B68" s="1" t="s">
        <v>278</v>
      </c>
      <c r="C68" s="1" t="s">
        <v>203</v>
      </c>
      <c r="D68" s="1" t="n">
        <v>6</v>
      </c>
      <c r="E68" s="78" t="str">
        <f aca="false">IF(D68&gt;8,"2 de 30h","1 de 44h")</f>
        <v>1 de 44h</v>
      </c>
      <c r="F68" s="95"/>
      <c r="G68" s="1" t="n">
        <v>1</v>
      </c>
      <c r="H68" s="96"/>
      <c r="I68" s="96"/>
      <c r="J68" s="96" t="n">
        <v>1</v>
      </c>
      <c r="K68" s="78" t="n">
        <v>0</v>
      </c>
      <c r="L68" s="96" t="n">
        <f aca="false">K68/4</f>
        <v>0</v>
      </c>
      <c r="M68" s="96" t="n">
        <f aca="false">I68+L68</f>
        <v>0</v>
      </c>
      <c r="N68" s="96" t="n">
        <f aca="false">J68</f>
        <v>1</v>
      </c>
      <c r="O68" s="1" t="s">
        <v>129</v>
      </c>
      <c r="P68" s="1" t="s">
        <v>130</v>
      </c>
      <c r="Q68" s="1" t="s">
        <v>263</v>
      </c>
      <c r="R68" s="1" t="s">
        <v>263</v>
      </c>
      <c r="S68" s="1" t="n">
        <v>4635</v>
      </c>
      <c r="T68" s="97"/>
      <c r="U68" s="97"/>
      <c r="V68" s="98" t="n">
        <v>24698</v>
      </c>
      <c r="W68" s="98"/>
      <c r="X68" s="98" t="s">
        <v>279</v>
      </c>
      <c r="Y68" s="99"/>
      <c r="Z68" s="100"/>
      <c r="AA68" s="100"/>
      <c r="AB68" s="100"/>
      <c r="AC68" s="100" t="n">
        <v>1</v>
      </c>
      <c r="AD68" s="96"/>
      <c r="AE68" s="96" t="n">
        <f aca="false">M68</f>
        <v>0</v>
      </c>
      <c r="AF68" s="96" t="n">
        <f aca="false">N68</f>
        <v>1</v>
      </c>
      <c r="AG68" s="31" t="n">
        <v>0</v>
      </c>
      <c r="AH68" s="31" t="n">
        <v>0</v>
      </c>
      <c r="AI68" s="31" t="n">
        <v>2</v>
      </c>
      <c r="AJ68" s="31" t="n">
        <v>0</v>
      </c>
      <c r="AK68" s="60" t="s">
        <v>135</v>
      </c>
      <c r="AL68" s="60" t="s">
        <v>136</v>
      </c>
      <c r="AM68" s="60" t="s">
        <v>137</v>
      </c>
      <c r="AN68" s="60" t="s">
        <v>138</v>
      </c>
    </row>
    <row r="69" customFormat="false" ht="15" hidden="false" customHeight="false" outlineLevel="0" collapsed="false">
      <c r="A69" s="1" t="n">
        <v>12</v>
      </c>
      <c r="B69" s="1" t="s">
        <v>280</v>
      </c>
      <c r="C69" s="1" t="s">
        <v>203</v>
      </c>
      <c r="D69" s="1" t="n">
        <v>6</v>
      </c>
      <c r="E69" s="78" t="str">
        <f aca="false">IF(D69&gt;8,"2 de 30h","1 de 44h")</f>
        <v>1 de 44h</v>
      </c>
      <c r="F69" s="95"/>
      <c r="G69" s="1" t="n">
        <v>1</v>
      </c>
      <c r="H69" s="60"/>
      <c r="I69" s="60"/>
      <c r="J69" s="60" t="n">
        <v>1</v>
      </c>
      <c r="K69" s="78" t="n">
        <v>0</v>
      </c>
      <c r="L69" s="60" t="n">
        <f aca="false">K69/4</f>
        <v>0</v>
      </c>
      <c r="M69" s="60" t="n">
        <f aca="false">I69+L69</f>
        <v>0</v>
      </c>
      <c r="N69" s="60" t="n">
        <f aca="false">J69</f>
        <v>1</v>
      </c>
      <c r="O69" s="1" t="s">
        <v>129</v>
      </c>
      <c r="P69" s="1" t="s">
        <v>130</v>
      </c>
      <c r="Q69" s="1" t="s">
        <v>263</v>
      </c>
      <c r="R69" s="1" t="s">
        <v>263</v>
      </c>
      <c r="S69" s="1" t="n">
        <v>1957</v>
      </c>
      <c r="T69" s="97"/>
      <c r="U69" s="97"/>
      <c r="V69" s="98" t="n">
        <v>20416</v>
      </c>
      <c r="W69" s="98"/>
      <c r="X69" s="98" t="s">
        <v>281</v>
      </c>
      <c r="Y69" s="99"/>
      <c r="Z69" s="101"/>
      <c r="AA69" s="101"/>
      <c r="AB69" s="101"/>
      <c r="AC69" s="101" t="n">
        <v>1</v>
      </c>
      <c r="AD69" s="60"/>
      <c r="AE69" s="60" t="n">
        <f aca="false">M69</f>
        <v>0</v>
      </c>
      <c r="AF69" s="60" t="n">
        <f aca="false">N69</f>
        <v>1</v>
      </c>
      <c r="AG69" s="102" t="n">
        <v>0</v>
      </c>
      <c r="AH69" s="102" t="n">
        <v>0</v>
      </c>
      <c r="AI69" s="102" t="n">
        <v>2</v>
      </c>
      <c r="AJ69" s="102" t="n">
        <v>0</v>
      </c>
      <c r="AK69" s="60" t="s">
        <v>135</v>
      </c>
      <c r="AL69" s="60" t="s">
        <v>136</v>
      </c>
      <c r="AM69" s="60" t="s">
        <v>137</v>
      </c>
      <c r="AN69" s="60" t="s">
        <v>138</v>
      </c>
    </row>
    <row r="70" customFormat="false" ht="15" hidden="false" customHeight="false" outlineLevel="0" collapsed="false">
      <c r="A70" s="1" t="n">
        <v>13</v>
      </c>
      <c r="B70" s="1" t="s">
        <v>282</v>
      </c>
      <c r="C70" s="1" t="s">
        <v>203</v>
      </c>
      <c r="D70" s="1" t="n">
        <v>6</v>
      </c>
      <c r="E70" s="78" t="s">
        <v>145</v>
      </c>
      <c r="F70" s="95"/>
      <c r="G70" s="1" t="n">
        <v>1</v>
      </c>
      <c r="H70" s="96"/>
      <c r="I70" s="96" t="n">
        <v>2</v>
      </c>
      <c r="J70" s="96" t="n">
        <v>0</v>
      </c>
      <c r="K70" s="78" t="n">
        <v>0</v>
      </c>
      <c r="L70" s="96" t="n">
        <f aca="false">K70/4</f>
        <v>0</v>
      </c>
      <c r="M70" s="96" t="n">
        <f aca="false">I70+L70</f>
        <v>2</v>
      </c>
      <c r="N70" s="96" t="n">
        <f aca="false">J70</f>
        <v>0</v>
      </c>
      <c r="O70" s="1" t="s">
        <v>129</v>
      </c>
      <c r="P70" s="1" t="s">
        <v>130</v>
      </c>
      <c r="Q70" s="1" t="s">
        <v>263</v>
      </c>
      <c r="R70" s="1" t="s">
        <v>263</v>
      </c>
      <c r="S70" s="1" t="n">
        <v>2343</v>
      </c>
      <c r="T70" s="97" t="s">
        <v>132</v>
      </c>
      <c r="U70" s="97"/>
      <c r="V70" s="98" t="n">
        <v>26615</v>
      </c>
      <c r="W70" s="98"/>
      <c r="X70" s="98" t="s">
        <v>198</v>
      </c>
      <c r="Y70" s="99" t="s">
        <v>132</v>
      </c>
      <c r="Z70" s="100"/>
      <c r="AA70" s="100"/>
      <c r="AB70" s="100"/>
      <c r="AC70" s="100" t="n">
        <v>1</v>
      </c>
      <c r="AD70" s="96"/>
      <c r="AE70" s="96" t="n">
        <f aca="false">M70</f>
        <v>2</v>
      </c>
      <c r="AF70" s="96" t="n">
        <f aca="false">N70</f>
        <v>0</v>
      </c>
      <c r="AG70" s="31" t="n">
        <v>0</v>
      </c>
      <c r="AH70" s="31" t="n">
        <v>0</v>
      </c>
      <c r="AI70" s="31" t="n">
        <v>2</v>
      </c>
      <c r="AJ70" s="31" t="n">
        <v>0</v>
      </c>
      <c r="AK70" s="60" t="s">
        <v>135</v>
      </c>
      <c r="AL70" s="60" t="s">
        <v>136</v>
      </c>
      <c r="AM70" s="60" t="s">
        <v>137</v>
      </c>
      <c r="AN70" s="60" t="s">
        <v>138</v>
      </c>
    </row>
    <row r="71" customFormat="false" ht="15" hidden="false" customHeight="false" outlineLevel="0" collapsed="false">
      <c r="A71" s="1" t="n">
        <v>14</v>
      </c>
      <c r="B71" s="1" t="s">
        <v>283</v>
      </c>
      <c r="C71" s="1" t="s">
        <v>184</v>
      </c>
      <c r="D71" s="1" t="n">
        <v>10</v>
      </c>
      <c r="E71" s="78" t="str">
        <f aca="false">IF(D71&gt;8,"2 de 30h","1 de 44h")</f>
        <v>2 de 30h</v>
      </c>
      <c r="F71" s="95"/>
      <c r="G71" s="1" t="n">
        <v>1</v>
      </c>
      <c r="H71" s="60"/>
      <c r="I71" s="60" t="n">
        <v>2</v>
      </c>
      <c r="J71" s="60"/>
      <c r="K71" s="78" t="n">
        <v>0</v>
      </c>
      <c r="L71" s="60" t="n">
        <f aca="false">K71/4</f>
        <v>0</v>
      </c>
      <c r="M71" s="60" t="n">
        <f aca="false">I71+L71</f>
        <v>2</v>
      </c>
      <c r="N71" s="60" t="n">
        <f aca="false">J71</f>
        <v>0</v>
      </c>
      <c r="O71" s="1" t="s">
        <v>129</v>
      </c>
      <c r="P71" s="1" t="s">
        <v>130</v>
      </c>
      <c r="Q71" s="1" t="s">
        <v>263</v>
      </c>
      <c r="R71" s="1" t="s">
        <v>263</v>
      </c>
      <c r="S71" s="1" t="n">
        <v>6185</v>
      </c>
      <c r="T71" s="97"/>
      <c r="U71" s="97"/>
      <c r="V71" s="98" t="n">
        <v>32658</v>
      </c>
      <c r="W71" s="98"/>
      <c r="X71" s="98" t="s">
        <v>168</v>
      </c>
      <c r="Y71" s="99"/>
      <c r="Z71" s="101"/>
      <c r="AA71" s="101"/>
      <c r="AB71" s="101"/>
      <c r="AC71" s="101" t="n">
        <v>1</v>
      </c>
      <c r="AD71" s="60"/>
      <c r="AE71" s="60" t="n">
        <f aca="false">M71</f>
        <v>2</v>
      </c>
      <c r="AF71" s="60" t="n">
        <f aca="false">N71</f>
        <v>0</v>
      </c>
      <c r="AG71" s="102" t="n">
        <v>0</v>
      </c>
      <c r="AH71" s="102" t="n">
        <v>0</v>
      </c>
      <c r="AI71" s="102" t="n">
        <v>2</v>
      </c>
      <c r="AJ71" s="102" t="n">
        <v>0</v>
      </c>
      <c r="AK71" s="60" t="s">
        <v>135</v>
      </c>
      <c r="AL71" s="60" t="s">
        <v>136</v>
      </c>
      <c r="AM71" s="60" t="s">
        <v>137</v>
      </c>
      <c r="AN71" s="60" t="s">
        <v>138</v>
      </c>
    </row>
    <row r="72" customFormat="false" ht="15" hidden="false" customHeight="false" outlineLevel="0" collapsed="false">
      <c r="A72" s="1" t="n">
        <v>15</v>
      </c>
      <c r="B72" s="1" t="s">
        <v>284</v>
      </c>
      <c r="C72" s="1" t="s">
        <v>140</v>
      </c>
      <c r="F72" s="95"/>
      <c r="H72" s="96"/>
      <c r="I72" s="96"/>
      <c r="J72" s="96"/>
      <c r="L72" s="96"/>
      <c r="M72" s="96"/>
      <c r="N72" s="96"/>
      <c r="T72" s="97"/>
      <c r="U72" s="97"/>
      <c r="V72" s="98"/>
      <c r="W72" s="98"/>
      <c r="X72" s="98"/>
      <c r="Y72" s="99"/>
      <c r="Z72" s="100"/>
      <c r="AA72" s="100"/>
      <c r="AB72" s="100"/>
      <c r="AC72" s="100" t="n">
        <v>1</v>
      </c>
      <c r="AD72" s="96"/>
      <c r="AE72" s="96" t="n">
        <f aca="false">M72</f>
        <v>0</v>
      </c>
      <c r="AF72" s="96" t="n">
        <f aca="false">N72</f>
        <v>0</v>
      </c>
      <c r="AG72" s="31" t="n">
        <v>0</v>
      </c>
      <c r="AH72" s="31" t="n">
        <v>0</v>
      </c>
      <c r="AI72" s="31" t="n">
        <v>1</v>
      </c>
      <c r="AJ72" s="31" t="n">
        <v>0</v>
      </c>
      <c r="AK72" s="60" t="s">
        <v>135</v>
      </c>
      <c r="AL72" s="60" t="s">
        <v>136</v>
      </c>
      <c r="AM72" s="60" t="s">
        <v>137</v>
      </c>
      <c r="AN72" s="60" t="s">
        <v>138</v>
      </c>
    </row>
    <row r="73" customFormat="false" ht="9" hidden="false" customHeight="true" outlineLevel="0" collapsed="false">
      <c r="A73" s="106"/>
      <c r="B73" s="106"/>
      <c r="C73" s="106"/>
      <c r="D73" s="106"/>
      <c r="E73" s="107"/>
      <c r="F73" s="111"/>
      <c r="G73" s="106"/>
      <c r="H73" s="108"/>
      <c r="I73" s="108"/>
      <c r="J73" s="108"/>
      <c r="K73" s="107"/>
      <c r="L73" s="108"/>
      <c r="M73" s="108"/>
      <c r="N73" s="108"/>
      <c r="O73" s="106"/>
      <c r="P73" s="106"/>
      <c r="Q73" s="106"/>
      <c r="R73" s="106"/>
      <c r="S73" s="106"/>
      <c r="T73" s="109"/>
      <c r="U73" s="109"/>
      <c r="V73" s="109"/>
      <c r="W73" s="109"/>
      <c r="X73" s="109"/>
      <c r="Y73" s="109"/>
      <c r="Z73" s="110"/>
      <c r="AA73" s="110"/>
      <c r="AB73" s="110"/>
      <c r="AC73" s="110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</row>
    <row r="74" customFormat="false" ht="15" hidden="false" customHeight="false" outlineLevel="0" collapsed="false">
      <c r="A74" s="1" t="n">
        <v>1</v>
      </c>
      <c r="B74" s="1" t="s">
        <v>285</v>
      </c>
      <c r="C74" s="1" t="s">
        <v>140</v>
      </c>
      <c r="F74" s="95"/>
      <c r="H74" s="96"/>
      <c r="I74" s="96" t="n">
        <v>2</v>
      </c>
      <c r="J74" s="96"/>
      <c r="K74" s="78" t="n">
        <v>0</v>
      </c>
      <c r="L74" s="96" t="n">
        <f aca="false">K74/4</f>
        <v>0</v>
      </c>
      <c r="M74" s="96" t="n">
        <f aca="false">I74+L74</f>
        <v>2</v>
      </c>
      <c r="N74" s="96" t="n">
        <f aca="false">J74</f>
        <v>0</v>
      </c>
      <c r="S74" s="1" t="n">
        <v>178867</v>
      </c>
      <c r="T74" s="97"/>
      <c r="U74" s="97"/>
      <c r="V74" s="98" t="n">
        <v>311611</v>
      </c>
      <c r="W74" s="98" t="s">
        <v>286</v>
      </c>
      <c r="X74" s="98" t="s">
        <v>194</v>
      </c>
      <c r="Y74" s="99"/>
      <c r="Z74" s="100"/>
      <c r="AA74" s="100"/>
      <c r="AB74" s="100"/>
      <c r="AC74" s="100"/>
      <c r="AD74" s="96" t="n">
        <f aca="false">H74</f>
        <v>0</v>
      </c>
      <c r="AE74" s="96" t="n">
        <f aca="false">M74</f>
        <v>2</v>
      </c>
      <c r="AF74" s="96" t="n">
        <f aca="false">N74</f>
        <v>0</v>
      </c>
      <c r="AG74" s="31" t="n">
        <v>1</v>
      </c>
      <c r="AH74" s="31" t="n">
        <v>1</v>
      </c>
      <c r="AI74" s="31" t="n">
        <v>0</v>
      </c>
      <c r="AJ74" s="31" t="n">
        <v>0</v>
      </c>
      <c r="AK74" s="60" t="s">
        <v>135</v>
      </c>
      <c r="AL74" s="60" t="s">
        <v>136</v>
      </c>
      <c r="AM74" s="60" t="s">
        <v>137</v>
      </c>
      <c r="AN74" s="60" t="s">
        <v>138</v>
      </c>
    </row>
    <row r="75" customFormat="false" ht="15" hidden="false" customHeight="false" outlineLevel="0" collapsed="false">
      <c r="A75" s="1" t="n">
        <v>2</v>
      </c>
      <c r="B75" s="1" t="s">
        <v>139</v>
      </c>
      <c r="C75" s="1" t="s">
        <v>140</v>
      </c>
      <c r="F75" s="95"/>
      <c r="G75" s="1" t="n">
        <v>1</v>
      </c>
      <c r="H75" s="60"/>
      <c r="I75" s="60"/>
      <c r="J75" s="60"/>
      <c r="K75" s="78" t="n">
        <v>0</v>
      </c>
      <c r="L75" s="60" t="n">
        <f aca="false">K75/4</f>
        <v>0</v>
      </c>
      <c r="M75" s="60" t="n">
        <f aca="false">I75+L75</f>
        <v>0</v>
      </c>
      <c r="N75" s="60" t="n">
        <f aca="false">J75</f>
        <v>0</v>
      </c>
      <c r="O75" s="1" t="s">
        <v>129</v>
      </c>
      <c r="P75" s="1" t="s">
        <v>130</v>
      </c>
      <c r="Q75" s="1" t="s">
        <v>287</v>
      </c>
      <c r="R75" s="1" t="s">
        <v>287</v>
      </c>
      <c r="T75" s="97"/>
      <c r="U75" s="97"/>
      <c r="V75" s="98"/>
      <c r="W75" s="98"/>
      <c r="X75" s="98"/>
      <c r="Y75" s="99"/>
      <c r="Z75" s="101"/>
      <c r="AA75" s="101"/>
      <c r="AB75" s="101"/>
      <c r="AC75" s="101"/>
      <c r="AD75" s="60"/>
      <c r="AE75" s="60" t="n">
        <f aca="false">M75</f>
        <v>0</v>
      </c>
      <c r="AF75" s="60" t="n">
        <f aca="false">N75</f>
        <v>0</v>
      </c>
      <c r="AG75" s="102" t="n">
        <v>0</v>
      </c>
      <c r="AH75" s="102" t="n">
        <v>0</v>
      </c>
      <c r="AI75" s="102" t="n">
        <v>0</v>
      </c>
      <c r="AJ75" s="102" t="n">
        <v>0</v>
      </c>
      <c r="AK75" s="60" t="s">
        <v>135</v>
      </c>
      <c r="AL75" s="60" t="s">
        <v>136</v>
      </c>
      <c r="AM75" s="60" t="s">
        <v>137</v>
      </c>
      <c r="AN75" s="60" t="s">
        <v>138</v>
      </c>
    </row>
    <row r="76" customFormat="false" ht="15" hidden="false" customHeight="false" outlineLevel="0" collapsed="false">
      <c r="A76" s="1" t="n">
        <v>3</v>
      </c>
      <c r="B76" s="1" t="s">
        <v>288</v>
      </c>
      <c r="C76" s="1" t="s">
        <v>184</v>
      </c>
      <c r="D76" s="1" t="n">
        <v>10</v>
      </c>
      <c r="E76" s="78" t="str">
        <f aca="false">IF(D76&gt;8,"2 de 30h","1 de 44h")</f>
        <v>2 de 30h</v>
      </c>
      <c r="F76" s="95"/>
      <c r="G76" s="1" t="n">
        <v>2</v>
      </c>
      <c r="H76" s="96"/>
      <c r="I76" s="96" t="n">
        <v>4</v>
      </c>
      <c r="J76" s="96"/>
      <c r="K76" s="78" t="n">
        <v>10</v>
      </c>
      <c r="L76" s="96" t="n">
        <f aca="false">ROUNDUP(K76/4,0)</f>
        <v>3</v>
      </c>
      <c r="M76" s="96" t="n">
        <f aca="false">I76+L76</f>
        <v>7</v>
      </c>
      <c r="N76" s="96" t="n">
        <f aca="false">J76</f>
        <v>0</v>
      </c>
      <c r="O76" s="1" t="s">
        <v>129</v>
      </c>
      <c r="P76" s="1" t="s">
        <v>130</v>
      </c>
      <c r="Q76" s="1" t="s">
        <v>289</v>
      </c>
      <c r="R76" s="1" t="s">
        <v>287</v>
      </c>
      <c r="S76" s="1" t="n">
        <v>49176</v>
      </c>
      <c r="T76" s="97"/>
      <c r="U76" s="97" t="s">
        <v>131</v>
      </c>
      <c r="V76" s="98"/>
      <c r="W76" s="98"/>
      <c r="X76" s="98"/>
      <c r="Y76" s="99"/>
      <c r="Z76" s="100"/>
      <c r="AA76" s="100"/>
      <c r="AB76" s="100" t="n">
        <v>4</v>
      </c>
      <c r="AC76" s="100" t="n">
        <v>7</v>
      </c>
      <c r="AD76" s="96"/>
      <c r="AE76" s="96" t="n">
        <f aca="false">M76</f>
        <v>7</v>
      </c>
      <c r="AF76" s="96" t="n">
        <f aca="false">N76</f>
        <v>0</v>
      </c>
      <c r="AG76" s="31" t="n">
        <v>0</v>
      </c>
      <c r="AH76" s="31" t="n">
        <v>0</v>
      </c>
      <c r="AI76" s="31" t="n">
        <v>10</v>
      </c>
      <c r="AJ76" s="31" t="n">
        <v>0</v>
      </c>
      <c r="AK76" s="60" t="s">
        <v>135</v>
      </c>
      <c r="AL76" s="60" t="s">
        <v>136</v>
      </c>
      <c r="AM76" s="60" t="s">
        <v>137</v>
      </c>
      <c r="AN76" s="60" t="s">
        <v>138</v>
      </c>
    </row>
    <row r="77" customFormat="false" ht="15" hidden="false" customHeight="false" outlineLevel="0" collapsed="false">
      <c r="A77" s="1" t="n">
        <v>4</v>
      </c>
      <c r="B77" s="1" t="s">
        <v>290</v>
      </c>
      <c r="C77" s="1" t="s">
        <v>184</v>
      </c>
      <c r="D77" s="1" t="n">
        <v>10</v>
      </c>
      <c r="E77" s="78" t="str">
        <f aca="false">IF(D77&gt;8,"2 de 30h","1 de 44h")</f>
        <v>2 de 30h</v>
      </c>
      <c r="F77" s="95"/>
      <c r="G77" s="1" t="n">
        <v>2</v>
      </c>
      <c r="H77" s="60"/>
      <c r="I77" s="60" t="n">
        <v>4</v>
      </c>
      <c r="J77" s="60"/>
      <c r="K77" s="78" t="n">
        <v>3</v>
      </c>
      <c r="L77" s="60" t="n">
        <f aca="false">ROUNDUP(K77/4,0)</f>
        <v>1</v>
      </c>
      <c r="M77" s="60" t="n">
        <f aca="false">I77+L77</f>
        <v>5</v>
      </c>
      <c r="N77" s="60" t="n">
        <f aca="false">J77</f>
        <v>0</v>
      </c>
      <c r="O77" s="1" t="s">
        <v>129</v>
      </c>
      <c r="P77" s="1" t="s">
        <v>130</v>
      </c>
      <c r="Q77" s="1" t="s">
        <v>289</v>
      </c>
      <c r="R77" s="1" t="s">
        <v>289</v>
      </c>
      <c r="S77" s="1" t="n">
        <v>23438</v>
      </c>
      <c r="T77" s="97"/>
      <c r="U77" s="97" t="s">
        <v>131</v>
      </c>
      <c r="V77" s="98" t="n">
        <v>167328</v>
      </c>
      <c r="W77" s="98" t="n">
        <v>31</v>
      </c>
      <c r="X77" s="98" t="s">
        <v>268</v>
      </c>
      <c r="Y77" s="99" t="s">
        <v>132</v>
      </c>
      <c r="Z77" s="101"/>
      <c r="AA77" s="101"/>
      <c r="AB77" s="101" t="n">
        <v>2</v>
      </c>
      <c r="AC77" s="101" t="n">
        <v>2</v>
      </c>
      <c r="AD77" s="60"/>
      <c r="AE77" s="60" t="n">
        <f aca="false">M77</f>
        <v>5</v>
      </c>
      <c r="AF77" s="60" t="n">
        <f aca="false">N77</f>
        <v>0</v>
      </c>
      <c r="AG77" s="102" t="n">
        <v>0</v>
      </c>
      <c r="AH77" s="102" t="n">
        <v>0</v>
      </c>
      <c r="AI77" s="102" t="n">
        <v>5</v>
      </c>
      <c r="AJ77" s="102" t="n">
        <v>0</v>
      </c>
      <c r="AK77" s="60" t="s">
        <v>135</v>
      </c>
      <c r="AL77" s="60" t="s">
        <v>136</v>
      </c>
      <c r="AM77" s="60" t="s">
        <v>137</v>
      </c>
      <c r="AN77" s="60" t="s">
        <v>138</v>
      </c>
    </row>
    <row r="78" customFormat="false" ht="15" hidden="false" customHeight="false" outlineLevel="0" collapsed="false">
      <c r="A78" s="1" t="n">
        <v>5</v>
      </c>
      <c r="B78" s="1" t="s">
        <v>291</v>
      </c>
      <c r="C78" s="1" t="s">
        <v>203</v>
      </c>
      <c r="D78" s="1" t="n">
        <v>6</v>
      </c>
      <c r="E78" s="78" t="str">
        <f aca="false">IF(D78&gt;8,"2 de 30h","1 de 44h")</f>
        <v>1 de 44h</v>
      </c>
      <c r="F78" s="95"/>
      <c r="G78" s="1" t="n">
        <v>2</v>
      </c>
      <c r="H78" s="96"/>
      <c r="I78" s="96"/>
      <c r="J78" s="96" t="n">
        <v>2</v>
      </c>
      <c r="K78" s="78" t="n">
        <v>2</v>
      </c>
      <c r="L78" s="96" t="n">
        <f aca="false">ROUNDUP(K78/4,0)</f>
        <v>1</v>
      </c>
      <c r="M78" s="96" t="n">
        <f aca="false">I78+L78</f>
        <v>1</v>
      </c>
      <c r="N78" s="96" t="n">
        <f aca="false">J78</f>
        <v>2</v>
      </c>
      <c r="O78" s="1" t="s">
        <v>131</v>
      </c>
      <c r="S78" s="1" t="n">
        <v>12423</v>
      </c>
      <c r="T78" s="97"/>
      <c r="U78" s="97" t="s">
        <v>131</v>
      </c>
      <c r="V78" s="98" t="n">
        <v>56207</v>
      </c>
      <c r="W78" s="98"/>
      <c r="X78" s="98" t="s">
        <v>292</v>
      </c>
      <c r="Y78" s="99"/>
      <c r="Z78" s="100"/>
      <c r="AA78" s="100"/>
      <c r="AB78" s="100" t="n">
        <v>1</v>
      </c>
      <c r="AC78" s="100" t="n">
        <v>2</v>
      </c>
      <c r="AD78" s="96"/>
      <c r="AE78" s="96" t="n">
        <f aca="false">M78</f>
        <v>1</v>
      </c>
      <c r="AF78" s="96" t="n">
        <f aca="false">N78</f>
        <v>2</v>
      </c>
      <c r="AG78" s="31" t="n">
        <v>0</v>
      </c>
      <c r="AH78" s="31" t="n">
        <v>0</v>
      </c>
      <c r="AI78" s="31" t="n">
        <v>1</v>
      </c>
      <c r="AJ78" s="31" t="n">
        <v>2</v>
      </c>
      <c r="AK78" s="60" t="s">
        <v>135</v>
      </c>
      <c r="AL78" s="60" t="s">
        <v>136</v>
      </c>
      <c r="AM78" s="60" t="s">
        <v>137</v>
      </c>
      <c r="AN78" s="60" t="s">
        <v>138</v>
      </c>
    </row>
    <row r="79" customFormat="false" ht="15" hidden="false" customHeight="false" outlineLevel="0" collapsed="false">
      <c r="A79" s="1" t="n">
        <v>6</v>
      </c>
      <c r="B79" s="1" t="s">
        <v>293</v>
      </c>
      <c r="C79" s="1" t="s">
        <v>184</v>
      </c>
      <c r="D79" s="1" t="n">
        <v>10</v>
      </c>
      <c r="E79" s="78" t="str">
        <f aca="false">IF(D79&gt;8,"2 de 30h","1 de 44h")</f>
        <v>2 de 30h</v>
      </c>
      <c r="F79" s="95"/>
      <c r="G79" s="1" t="n">
        <v>1</v>
      </c>
      <c r="H79" s="60"/>
      <c r="I79" s="60" t="n">
        <v>2</v>
      </c>
      <c r="J79" s="60"/>
      <c r="K79" s="78" t="n">
        <v>2</v>
      </c>
      <c r="L79" s="60" t="n">
        <f aca="false">ROUNDUP(K79/4,0)</f>
        <v>1</v>
      </c>
      <c r="M79" s="60" t="n">
        <f aca="false">I79+L79</f>
        <v>3</v>
      </c>
      <c r="N79" s="60" t="n">
        <f aca="false">J79</f>
        <v>0</v>
      </c>
      <c r="O79" s="1" t="s">
        <v>131</v>
      </c>
      <c r="S79" s="1" t="n">
        <v>10154</v>
      </c>
      <c r="T79" s="97"/>
      <c r="U79" s="97"/>
      <c r="V79" s="98" t="n">
        <v>32606</v>
      </c>
      <c r="W79" s="98"/>
      <c r="X79" s="98" t="s">
        <v>239</v>
      </c>
      <c r="Y79" s="99"/>
      <c r="Z79" s="101"/>
      <c r="AA79" s="101"/>
      <c r="AB79" s="101" t="n">
        <v>1</v>
      </c>
      <c r="AC79" s="101" t="n">
        <v>2</v>
      </c>
      <c r="AD79" s="60"/>
      <c r="AE79" s="60" t="n">
        <f aca="false">M79</f>
        <v>3</v>
      </c>
      <c r="AF79" s="60" t="n">
        <f aca="false">N79</f>
        <v>0</v>
      </c>
      <c r="AG79" s="102" t="n">
        <v>0</v>
      </c>
      <c r="AH79" s="102" t="n">
        <v>0</v>
      </c>
      <c r="AI79" s="102" t="n">
        <v>3</v>
      </c>
      <c r="AJ79" s="102" t="n">
        <v>0</v>
      </c>
      <c r="AK79" s="60" t="s">
        <v>135</v>
      </c>
      <c r="AL79" s="60" t="s">
        <v>136</v>
      </c>
      <c r="AM79" s="60" t="s">
        <v>137</v>
      </c>
      <c r="AN79" s="60" t="s">
        <v>138</v>
      </c>
    </row>
    <row r="80" customFormat="false" ht="15" hidden="false" customHeight="false" outlineLevel="0" collapsed="false">
      <c r="A80" s="1" t="n">
        <v>7</v>
      </c>
      <c r="B80" s="1" t="s">
        <v>294</v>
      </c>
      <c r="C80" s="1" t="s">
        <v>184</v>
      </c>
      <c r="D80" s="1" t="n">
        <v>10</v>
      </c>
      <c r="E80" s="78" t="str">
        <f aca="false">IF(D80&gt;8,"2 de 30h","1 de 44h")</f>
        <v>2 de 30h</v>
      </c>
      <c r="F80" s="95"/>
      <c r="G80" s="1" t="n">
        <v>2</v>
      </c>
      <c r="H80" s="96"/>
      <c r="I80" s="96" t="n">
        <v>4</v>
      </c>
      <c r="J80" s="96"/>
      <c r="K80" s="78" t="n">
        <v>0</v>
      </c>
      <c r="L80" s="96" t="n">
        <f aca="false">K80/4</f>
        <v>0</v>
      </c>
      <c r="M80" s="96" t="n">
        <f aca="false">I80+L80</f>
        <v>4</v>
      </c>
      <c r="N80" s="96" t="n">
        <f aca="false">J80</f>
        <v>0</v>
      </c>
      <c r="O80" s="1" t="s">
        <v>131</v>
      </c>
      <c r="S80" s="1" t="n">
        <v>7259</v>
      </c>
      <c r="T80" s="97"/>
      <c r="U80" s="97"/>
      <c r="V80" s="98" t="n">
        <v>30777</v>
      </c>
      <c r="W80" s="98"/>
      <c r="X80" s="98" t="s">
        <v>173</v>
      </c>
      <c r="Y80" s="99"/>
      <c r="Z80" s="100"/>
      <c r="AA80" s="100"/>
      <c r="AB80" s="100" t="n">
        <v>1</v>
      </c>
      <c r="AC80" s="100" t="n">
        <v>2</v>
      </c>
      <c r="AD80" s="96"/>
      <c r="AE80" s="96" t="n">
        <f aca="false">M80</f>
        <v>4</v>
      </c>
      <c r="AF80" s="96" t="n">
        <f aca="false">N80</f>
        <v>0</v>
      </c>
      <c r="AG80" s="31" t="n">
        <v>0</v>
      </c>
      <c r="AH80" s="31" t="n">
        <v>0</v>
      </c>
      <c r="AI80" s="31" t="n">
        <v>4</v>
      </c>
      <c r="AJ80" s="31" t="n">
        <v>0</v>
      </c>
      <c r="AK80" s="60" t="s">
        <v>135</v>
      </c>
      <c r="AL80" s="60" t="s">
        <v>136</v>
      </c>
      <c r="AM80" s="60" t="s">
        <v>137</v>
      </c>
      <c r="AN80" s="60" t="s">
        <v>138</v>
      </c>
    </row>
    <row r="81" customFormat="false" ht="15" hidden="false" customHeight="false" outlineLevel="0" collapsed="false">
      <c r="A81" s="1" t="n">
        <v>8</v>
      </c>
      <c r="B81" s="1" t="s">
        <v>295</v>
      </c>
      <c r="C81" s="1" t="s">
        <v>203</v>
      </c>
      <c r="D81" s="1" t="n">
        <v>6</v>
      </c>
      <c r="E81" s="78" t="str">
        <f aca="false">IF(D81&gt;8,"2 de 30h","1 de 44h")</f>
        <v>1 de 44h</v>
      </c>
      <c r="F81" s="95"/>
      <c r="G81" s="1" t="n">
        <v>1</v>
      </c>
      <c r="H81" s="60"/>
      <c r="I81" s="60"/>
      <c r="J81" s="60" t="n">
        <v>1</v>
      </c>
      <c r="K81" s="78" t="n">
        <v>0</v>
      </c>
      <c r="L81" s="60" t="n">
        <f aca="false">K81/4</f>
        <v>0</v>
      </c>
      <c r="M81" s="60" t="n">
        <f aca="false">I81+L81</f>
        <v>0</v>
      </c>
      <c r="N81" s="60" t="n">
        <f aca="false">J81</f>
        <v>1</v>
      </c>
      <c r="O81" s="1" t="s">
        <v>131</v>
      </c>
      <c r="S81" s="1" t="n">
        <v>12713</v>
      </c>
      <c r="T81" s="97"/>
      <c r="U81" s="97" t="s">
        <v>131</v>
      </c>
      <c r="V81" s="98" t="n">
        <v>69872</v>
      </c>
      <c r="W81" s="98"/>
      <c r="X81" s="98" t="s">
        <v>257</v>
      </c>
      <c r="Y81" s="99"/>
      <c r="Z81" s="101"/>
      <c r="AA81" s="101"/>
      <c r="AB81" s="101" t="n">
        <v>1</v>
      </c>
      <c r="AC81" s="101" t="n">
        <v>2</v>
      </c>
      <c r="AD81" s="60"/>
      <c r="AE81" s="60" t="n">
        <f aca="false">M81</f>
        <v>0</v>
      </c>
      <c r="AF81" s="60" t="n">
        <f aca="false">N81</f>
        <v>1</v>
      </c>
      <c r="AG81" s="102" t="n">
        <v>0</v>
      </c>
      <c r="AH81" s="102" t="n">
        <v>0</v>
      </c>
      <c r="AI81" s="102" t="n">
        <v>0</v>
      </c>
      <c r="AJ81" s="102" t="n">
        <v>1</v>
      </c>
      <c r="AK81" s="60" t="s">
        <v>135</v>
      </c>
      <c r="AL81" s="60" t="s">
        <v>136</v>
      </c>
      <c r="AM81" s="60" t="s">
        <v>137</v>
      </c>
      <c r="AN81" s="60" t="s">
        <v>138</v>
      </c>
    </row>
    <row r="82" customFormat="false" ht="15" hidden="false" customHeight="false" outlineLevel="0" collapsed="false">
      <c r="A82" s="1" t="n">
        <v>9</v>
      </c>
      <c r="B82" s="1" t="s">
        <v>296</v>
      </c>
      <c r="C82" s="1" t="s">
        <v>184</v>
      </c>
      <c r="D82" s="1" t="n">
        <v>10</v>
      </c>
      <c r="E82" s="78" t="str">
        <f aca="false">IF(D82&gt;8,"2 de 30h","1 de 44h")</f>
        <v>2 de 30h</v>
      </c>
      <c r="F82" s="95"/>
      <c r="G82" s="1" t="n">
        <v>1</v>
      </c>
      <c r="H82" s="96"/>
      <c r="I82" s="96" t="n">
        <v>2</v>
      </c>
      <c r="J82" s="96"/>
      <c r="K82" s="78" t="n">
        <v>1</v>
      </c>
      <c r="L82" s="96" t="n">
        <f aca="false">ROUNDUP(K82/4,0)</f>
        <v>1</v>
      </c>
      <c r="M82" s="96" t="n">
        <f aca="false">I82+L82</f>
        <v>3</v>
      </c>
      <c r="N82" s="96" t="n">
        <f aca="false">J82</f>
        <v>0</v>
      </c>
      <c r="O82" s="1" t="s">
        <v>129</v>
      </c>
      <c r="P82" s="1" t="s">
        <v>130</v>
      </c>
      <c r="Q82" s="1" t="s">
        <v>287</v>
      </c>
      <c r="R82" s="1" t="s">
        <v>289</v>
      </c>
      <c r="S82" s="1" t="n">
        <v>16052</v>
      </c>
      <c r="T82" s="97"/>
      <c r="U82" s="97" t="s">
        <v>131</v>
      </c>
      <c r="V82" s="98" t="n">
        <v>52735</v>
      </c>
      <c r="W82" s="98"/>
      <c r="X82" s="98" t="s">
        <v>297</v>
      </c>
      <c r="Y82" s="99"/>
      <c r="Z82" s="100"/>
      <c r="AA82" s="100"/>
      <c r="AB82" s="100" t="n">
        <v>1</v>
      </c>
      <c r="AC82" s="100" t="n">
        <v>2</v>
      </c>
      <c r="AD82" s="96"/>
      <c r="AE82" s="96" t="n">
        <f aca="false">M82</f>
        <v>3</v>
      </c>
      <c r="AF82" s="96" t="n">
        <f aca="false">N82</f>
        <v>0</v>
      </c>
      <c r="AG82" s="31" t="n">
        <v>0</v>
      </c>
      <c r="AH82" s="31" t="n">
        <v>0</v>
      </c>
      <c r="AI82" s="31" t="n">
        <v>3</v>
      </c>
      <c r="AJ82" s="31" t="n">
        <v>0</v>
      </c>
      <c r="AK82" s="60" t="s">
        <v>135</v>
      </c>
      <c r="AL82" s="60" t="s">
        <v>136</v>
      </c>
      <c r="AM82" s="60" t="s">
        <v>137</v>
      </c>
      <c r="AN82" s="60" t="s">
        <v>138</v>
      </c>
    </row>
    <row r="83" customFormat="false" ht="15" hidden="false" customHeight="false" outlineLevel="0" collapsed="false">
      <c r="A83" s="1" t="n">
        <v>10</v>
      </c>
      <c r="B83" s="1" t="s">
        <v>298</v>
      </c>
      <c r="C83" s="1" t="s">
        <v>184</v>
      </c>
      <c r="D83" s="1" t="n">
        <v>10</v>
      </c>
      <c r="E83" s="78" t="str">
        <f aca="false">IF(D83&gt;8,"2 de 30h","1 de 44h")</f>
        <v>2 de 30h</v>
      </c>
      <c r="F83" s="95"/>
      <c r="G83" s="1" t="n">
        <v>2</v>
      </c>
      <c r="H83" s="60"/>
      <c r="I83" s="60" t="n">
        <v>4</v>
      </c>
      <c r="J83" s="60"/>
      <c r="K83" s="78" t="n">
        <v>2</v>
      </c>
      <c r="L83" s="60" t="n">
        <f aca="false">ROUNDUP(K83/4,0)</f>
        <v>1</v>
      </c>
      <c r="M83" s="60" t="n">
        <f aca="false">I83+L83</f>
        <v>5</v>
      </c>
      <c r="N83" s="60" t="n">
        <f aca="false">J83</f>
        <v>0</v>
      </c>
      <c r="O83" s="1" t="s">
        <v>129</v>
      </c>
      <c r="P83" s="1" t="s">
        <v>130</v>
      </c>
      <c r="Q83" s="1" t="s">
        <v>287</v>
      </c>
      <c r="R83" s="1" t="s">
        <v>289</v>
      </c>
      <c r="S83" s="1" t="n">
        <v>9961</v>
      </c>
      <c r="T83" s="97"/>
      <c r="U83" s="97"/>
      <c r="V83" s="98" t="n">
        <v>67084</v>
      </c>
      <c r="W83" s="98"/>
      <c r="X83" s="98" t="s">
        <v>299</v>
      </c>
      <c r="Y83" s="99"/>
      <c r="Z83" s="101"/>
      <c r="AA83" s="101"/>
      <c r="AB83" s="101" t="n">
        <v>1</v>
      </c>
      <c r="AC83" s="101" t="n">
        <v>2</v>
      </c>
      <c r="AD83" s="60"/>
      <c r="AE83" s="60" t="n">
        <f aca="false">M83</f>
        <v>5</v>
      </c>
      <c r="AF83" s="60" t="n">
        <f aca="false">N83</f>
        <v>0</v>
      </c>
      <c r="AG83" s="102" t="n">
        <v>0</v>
      </c>
      <c r="AH83" s="102" t="n">
        <v>0</v>
      </c>
      <c r="AI83" s="102" t="n">
        <v>5</v>
      </c>
      <c r="AJ83" s="102" t="n">
        <v>0</v>
      </c>
      <c r="AK83" s="60" t="s">
        <v>135</v>
      </c>
      <c r="AL83" s="60" t="s">
        <v>136</v>
      </c>
      <c r="AM83" s="60" t="s">
        <v>137</v>
      </c>
      <c r="AN83" s="60" t="s">
        <v>138</v>
      </c>
    </row>
    <row r="84" customFormat="false" ht="15" hidden="false" customHeight="false" outlineLevel="0" collapsed="false">
      <c r="A84" s="1" t="n">
        <v>11</v>
      </c>
      <c r="B84" s="1" t="s">
        <v>300</v>
      </c>
      <c r="C84" s="1" t="s">
        <v>203</v>
      </c>
      <c r="D84" s="1" t="n">
        <v>6</v>
      </c>
      <c r="E84" s="78" t="str">
        <f aca="false">IF(D84&gt;8,"2 de 30h","1 de 44h")</f>
        <v>1 de 44h</v>
      </c>
      <c r="F84" s="95"/>
      <c r="G84" s="1" t="n">
        <v>2</v>
      </c>
      <c r="H84" s="96"/>
      <c r="I84" s="96"/>
      <c r="J84" s="96" t="n">
        <v>2</v>
      </c>
      <c r="K84" s="78" t="n">
        <v>0</v>
      </c>
      <c r="L84" s="96" t="n">
        <f aca="false">K84/4</f>
        <v>0</v>
      </c>
      <c r="M84" s="96" t="n">
        <f aca="false">I84+L84</f>
        <v>0</v>
      </c>
      <c r="N84" s="96" t="n">
        <f aca="false">J84</f>
        <v>2</v>
      </c>
      <c r="O84" s="1" t="s">
        <v>129</v>
      </c>
      <c r="P84" s="1" t="s">
        <v>130</v>
      </c>
      <c r="Q84" s="1" t="s">
        <v>287</v>
      </c>
      <c r="R84" s="1" t="s">
        <v>289</v>
      </c>
      <c r="S84" s="1" t="n">
        <v>8104</v>
      </c>
      <c r="T84" s="97"/>
      <c r="U84" s="97"/>
      <c r="V84" s="98" t="n">
        <v>28751</v>
      </c>
      <c r="W84" s="98"/>
      <c r="X84" s="98" t="s">
        <v>301</v>
      </c>
      <c r="Y84" s="99"/>
      <c r="Z84" s="100"/>
      <c r="AA84" s="100"/>
      <c r="AB84" s="100" t="n">
        <v>1</v>
      </c>
      <c r="AC84" s="100" t="n">
        <v>2</v>
      </c>
      <c r="AD84" s="96"/>
      <c r="AE84" s="96" t="n">
        <f aca="false">M84</f>
        <v>0</v>
      </c>
      <c r="AF84" s="96" t="n">
        <f aca="false">N84</f>
        <v>2</v>
      </c>
      <c r="AG84" s="31" t="n">
        <v>0</v>
      </c>
      <c r="AH84" s="31" t="n">
        <v>0</v>
      </c>
      <c r="AI84" s="31" t="n">
        <v>0</v>
      </c>
      <c r="AJ84" s="31" t="n">
        <v>2</v>
      </c>
      <c r="AK84" s="60" t="s">
        <v>135</v>
      </c>
      <c r="AL84" s="60" t="s">
        <v>136</v>
      </c>
      <c r="AM84" s="60" t="s">
        <v>137</v>
      </c>
      <c r="AN84" s="60" t="s">
        <v>138</v>
      </c>
    </row>
    <row r="85" customFormat="false" ht="15" hidden="false" customHeight="false" outlineLevel="0" collapsed="false">
      <c r="A85" s="1" t="n">
        <v>12</v>
      </c>
      <c r="B85" s="1" t="s">
        <v>302</v>
      </c>
      <c r="C85" s="1" t="s">
        <v>184</v>
      </c>
      <c r="D85" s="1" t="n">
        <v>10</v>
      </c>
      <c r="E85" s="78" t="str">
        <f aca="false">IF(D85&gt;8,"2 de 30h","1 de 44h")</f>
        <v>2 de 30h</v>
      </c>
      <c r="F85" s="95"/>
      <c r="G85" s="1" t="n">
        <v>1</v>
      </c>
      <c r="H85" s="60"/>
      <c r="I85" s="60" t="n">
        <v>2</v>
      </c>
      <c r="J85" s="60"/>
      <c r="K85" s="78" t="n">
        <v>0</v>
      </c>
      <c r="L85" s="60" t="n">
        <f aca="false">K85/4</f>
        <v>0</v>
      </c>
      <c r="M85" s="60" t="n">
        <f aca="false">I85+L85</f>
        <v>2</v>
      </c>
      <c r="N85" s="60" t="n">
        <f aca="false">J85</f>
        <v>0</v>
      </c>
      <c r="O85" s="1" t="s">
        <v>131</v>
      </c>
      <c r="S85" s="1" t="n">
        <v>7561</v>
      </c>
      <c r="T85" s="97"/>
      <c r="U85" s="97"/>
      <c r="V85" s="98" t="n">
        <v>32638</v>
      </c>
      <c r="W85" s="98"/>
      <c r="X85" s="98" t="s">
        <v>303</v>
      </c>
      <c r="Y85" s="99"/>
      <c r="Z85" s="101"/>
      <c r="AA85" s="101"/>
      <c r="AB85" s="101" t="n">
        <v>1</v>
      </c>
      <c r="AC85" s="101" t="n">
        <v>2</v>
      </c>
      <c r="AD85" s="60"/>
      <c r="AE85" s="60" t="n">
        <f aca="false">M85</f>
        <v>2</v>
      </c>
      <c r="AF85" s="60" t="n">
        <f aca="false">N85</f>
        <v>0</v>
      </c>
      <c r="AG85" s="102" t="n">
        <v>0</v>
      </c>
      <c r="AH85" s="102" t="n">
        <v>0</v>
      </c>
      <c r="AI85" s="102" t="n">
        <v>2</v>
      </c>
      <c r="AJ85" s="102" t="n">
        <v>0</v>
      </c>
      <c r="AK85" s="60" t="s">
        <v>135</v>
      </c>
      <c r="AL85" s="60" t="s">
        <v>136</v>
      </c>
      <c r="AM85" s="60" t="s">
        <v>137</v>
      </c>
      <c r="AN85" s="60" t="s">
        <v>138</v>
      </c>
    </row>
    <row r="86" customFormat="false" ht="15" hidden="false" customHeight="false" outlineLevel="0" collapsed="false">
      <c r="A86" s="1" t="n">
        <v>13</v>
      </c>
      <c r="B86" s="1" t="s">
        <v>304</v>
      </c>
      <c r="C86" s="1" t="s">
        <v>203</v>
      </c>
      <c r="D86" s="1" t="n">
        <v>6</v>
      </c>
      <c r="E86" s="78" t="str">
        <f aca="false">IF(D86&gt;8,"2 de 30h","1 de 44h")</f>
        <v>1 de 44h</v>
      </c>
      <c r="F86" s="95"/>
      <c r="G86" s="1" t="n">
        <v>1</v>
      </c>
      <c r="H86" s="96"/>
      <c r="I86" s="96"/>
      <c r="J86" s="96" t="n">
        <v>1</v>
      </c>
      <c r="K86" s="78" t="n">
        <v>0</v>
      </c>
      <c r="L86" s="96" t="n">
        <f aca="false">K86/4</f>
        <v>0</v>
      </c>
      <c r="M86" s="96" t="n">
        <f aca="false">I86+L86</f>
        <v>0</v>
      </c>
      <c r="N86" s="96" t="n">
        <f aca="false">J86</f>
        <v>1</v>
      </c>
      <c r="O86" s="1" t="s">
        <v>129</v>
      </c>
      <c r="P86" s="1" t="s">
        <v>130</v>
      </c>
      <c r="Q86" s="1" t="s">
        <v>287</v>
      </c>
      <c r="R86" s="1" t="s">
        <v>289</v>
      </c>
      <c r="S86" s="1" t="n">
        <v>3014</v>
      </c>
      <c r="T86" s="97"/>
      <c r="U86" s="97"/>
      <c r="V86" s="98" t="n">
        <v>25855</v>
      </c>
      <c r="W86" s="98"/>
      <c r="X86" s="98" t="s">
        <v>216</v>
      </c>
      <c r="Y86" s="99"/>
      <c r="Z86" s="100"/>
      <c r="AA86" s="100"/>
      <c r="AB86" s="100" t="n">
        <v>2</v>
      </c>
      <c r="AC86" s="100"/>
      <c r="AD86" s="96"/>
      <c r="AE86" s="96" t="n">
        <f aca="false">M86</f>
        <v>0</v>
      </c>
      <c r="AF86" s="96" t="n">
        <f aca="false">N86</f>
        <v>1</v>
      </c>
      <c r="AG86" s="31" t="n">
        <v>0</v>
      </c>
      <c r="AH86" s="31" t="n">
        <v>0</v>
      </c>
      <c r="AI86" s="31" t="n">
        <v>0</v>
      </c>
      <c r="AJ86" s="31" t="n">
        <v>1</v>
      </c>
      <c r="AK86" s="60" t="s">
        <v>135</v>
      </c>
      <c r="AL86" s="60" t="s">
        <v>136</v>
      </c>
      <c r="AM86" s="60" t="s">
        <v>137</v>
      </c>
      <c r="AN86" s="60" t="s">
        <v>138</v>
      </c>
    </row>
    <row r="87" customFormat="false" ht="15" hidden="false" customHeight="false" outlineLevel="0" collapsed="false">
      <c r="A87" s="1" t="n">
        <v>14</v>
      </c>
      <c r="B87" s="1" t="s">
        <v>305</v>
      </c>
      <c r="C87" s="1" t="s">
        <v>203</v>
      </c>
      <c r="D87" s="1" t="n">
        <v>6</v>
      </c>
      <c r="E87" s="78" t="str">
        <f aca="false">IF(D87&gt;8,"2 de 30h","1 de 44h")</f>
        <v>1 de 44h</v>
      </c>
      <c r="F87" s="95"/>
      <c r="G87" s="1" t="n">
        <v>2</v>
      </c>
      <c r="H87" s="60"/>
      <c r="I87" s="60"/>
      <c r="J87" s="60" t="n">
        <v>2</v>
      </c>
      <c r="K87" s="78" t="n">
        <v>0</v>
      </c>
      <c r="L87" s="60" t="n">
        <f aca="false">K87/4</f>
        <v>0</v>
      </c>
      <c r="M87" s="60" t="n">
        <f aca="false">I87+L87</f>
        <v>0</v>
      </c>
      <c r="N87" s="60" t="n">
        <f aca="false">J87</f>
        <v>2</v>
      </c>
      <c r="O87" s="1" t="s">
        <v>129</v>
      </c>
      <c r="P87" s="1" t="s">
        <v>130</v>
      </c>
      <c r="Q87" s="1" t="s">
        <v>287</v>
      </c>
      <c r="R87" s="1" t="s">
        <v>289</v>
      </c>
      <c r="S87" s="1" t="n">
        <v>2206</v>
      </c>
      <c r="T87" s="97"/>
      <c r="U87" s="97"/>
      <c r="V87" s="98" t="n">
        <v>28455</v>
      </c>
      <c r="W87" s="98"/>
      <c r="X87" s="98" t="s">
        <v>209</v>
      </c>
      <c r="Y87" s="99"/>
      <c r="Z87" s="101"/>
      <c r="AA87" s="101"/>
      <c r="AB87" s="101" t="n">
        <v>2</v>
      </c>
      <c r="AC87" s="101"/>
      <c r="AD87" s="60"/>
      <c r="AE87" s="60" t="n">
        <f aca="false">M87</f>
        <v>0</v>
      </c>
      <c r="AF87" s="60" t="n">
        <f aca="false">N87</f>
        <v>2</v>
      </c>
      <c r="AG87" s="102" t="n">
        <v>0</v>
      </c>
      <c r="AH87" s="102" t="n">
        <v>0</v>
      </c>
      <c r="AI87" s="102" t="n">
        <v>0</v>
      </c>
      <c r="AJ87" s="102" t="n">
        <v>2</v>
      </c>
      <c r="AK87" s="60" t="s">
        <v>135</v>
      </c>
      <c r="AL87" s="60" t="s">
        <v>136</v>
      </c>
      <c r="AM87" s="60" t="s">
        <v>137</v>
      </c>
      <c r="AN87" s="60" t="s">
        <v>138</v>
      </c>
    </row>
    <row r="88" customFormat="false" ht="15" hidden="false" customHeight="false" outlineLevel="0" collapsed="false">
      <c r="A88" s="1" t="n">
        <v>15</v>
      </c>
      <c r="B88" s="1" t="s">
        <v>306</v>
      </c>
      <c r="C88" s="1" t="s">
        <v>203</v>
      </c>
      <c r="D88" s="1" t="n">
        <v>6</v>
      </c>
      <c r="E88" s="78" t="str">
        <f aca="false">IF(D88&gt;8,"2 de 30h","1 de 44h")</f>
        <v>1 de 44h</v>
      </c>
      <c r="F88" s="95"/>
      <c r="G88" s="1" t="n">
        <v>2</v>
      </c>
      <c r="H88" s="96"/>
      <c r="I88" s="96"/>
      <c r="J88" s="96" t="n">
        <v>2</v>
      </c>
      <c r="K88" s="78" t="n">
        <v>0</v>
      </c>
      <c r="L88" s="96" t="n">
        <f aca="false">K88/4</f>
        <v>0</v>
      </c>
      <c r="M88" s="96" t="n">
        <f aca="false">I88+L88</f>
        <v>0</v>
      </c>
      <c r="N88" s="96" t="n">
        <f aca="false">J88</f>
        <v>2</v>
      </c>
      <c r="O88" s="1" t="s">
        <v>129</v>
      </c>
      <c r="P88" s="1" t="s">
        <v>130</v>
      </c>
      <c r="Q88" s="1" t="s">
        <v>287</v>
      </c>
      <c r="R88" s="1" t="s">
        <v>289</v>
      </c>
      <c r="S88" s="1" t="n">
        <v>6477</v>
      </c>
      <c r="T88" s="97"/>
      <c r="U88" s="97" t="s">
        <v>131</v>
      </c>
      <c r="V88" s="98" t="n">
        <v>48792</v>
      </c>
      <c r="W88" s="98"/>
      <c r="X88" s="98" t="s">
        <v>307</v>
      </c>
      <c r="Y88" s="99"/>
      <c r="Z88" s="100"/>
      <c r="AA88" s="100"/>
      <c r="AB88" s="100" t="n">
        <v>1</v>
      </c>
      <c r="AC88" s="100" t="n">
        <v>2</v>
      </c>
      <c r="AD88" s="96"/>
      <c r="AE88" s="96" t="n">
        <f aca="false">M88</f>
        <v>0</v>
      </c>
      <c r="AF88" s="96" t="n">
        <f aca="false">N88</f>
        <v>2</v>
      </c>
      <c r="AG88" s="31" t="n">
        <v>0</v>
      </c>
      <c r="AH88" s="31" t="n">
        <v>0</v>
      </c>
      <c r="AI88" s="31" t="n">
        <v>0</v>
      </c>
      <c r="AJ88" s="31" t="n">
        <v>2</v>
      </c>
      <c r="AK88" s="60" t="s">
        <v>135</v>
      </c>
      <c r="AL88" s="60" t="s">
        <v>136</v>
      </c>
      <c r="AM88" s="60" t="s">
        <v>137</v>
      </c>
      <c r="AN88" s="60" t="s">
        <v>138</v>
      </c>
    </row>
    <row r="89" customFormat="false" ht="15" hidden="false" customHeight="false" outlineLevel="0" collapsed="false">
      <c r="A89" s="1" t="n">
        <v>16</v>
      </c>
      <c r="B89" s="1" t="s">
        <v>308</v>
      </c>
      <c r="C89" s="1" t="s">
        <v>203</v>
      </c>
      <c r="D89" s="1" t="n">
        <v>6</v>
      </c>
      <c r="E89" s="78" t="str">
        <f aca="false">IF(D89&gt;8,"2 de 30h","1 de 44h")</f>
        <v>1 de 44h</v>
      </c>
      <c r="F89" s="95"/>
      <c r="G89" s="1" t="n">
        <v>2</v>
      </c>
      <c r="H89" s="60"/>
      <c r="I89" s="60"/>
      <c r="J89" s="60" t="n">
        <v>2</v>
      </c>
      <c r="K89" s="78" t="n">
        <v>0</v>
      </c>
      <c r="L89" s="60" t="n">
        <f aca="false">K89/4</f>
        <v>0</v>
      </c>
      <c r="M89" s="60" t="n">
        <f aca="false">I89+L89</f>
        <v>0</v>
      </c>
      <c r="N89" s="60" t="n">
        <f aca="false">J89</f>
        <v>2</v>
      </c>
      <c r="O89" s="1" t="s">
        <v>129</v>
      </c>
      <c r="P89" s="1" t="s">
        <v>130</v>
      </c>
      <c r="Q89" s="1" t="s">
        <v>287</v>
      </c>
      <c r="R89" s="1" t="s">
        <v>289</v>
      </c>
      <c r="S89" s="1" t="n">
        <v>2674</v>
      </c>
      <c r="T89" s="97"/>
      <c r="U89" s="97"/>
      <c r="V89" s="98" t="n">
        <v>30208</v>
      </c>
      <c r="W89" s="98"/>
      <c r="X89" s="98" t="s">
        <v>309</v>
      </c>
      <c r="Y89" s="99"/>
      <c r="Z89" s="101"/>
      <c r="AA89" s="101"/>
      <c r="AB89" s="101" t="n">
        <v>2</v>
      </c>
      <c r="AC89" s="101"/>
      <c r="AD89" s="60"/>
      <c r="AE89" s="60" t="n">
        <f aca="false">M89</f>
        <v>0</v>
      </c>
      <c r="AF89" s="60" t="n">
        <f aca="false">N89</f>
        <v>2</v>
      </c>
      <c r="AG89" s="102" t="n">
        <v>0</v>
      </c>
      <c r="AH89" s="102" t="n">
        <v>0</v>
      </c>
      <c r="AI89" s="102" t="n">
        <v>0</v>
      </c>
      <c r="AJ89" s="102" t="n">
        <v>2</v>
      </c>
      <c r="AK89" s="60" t="s">
        <v>135</v>
      </c>
      <c r="AL89" s="60" t="s">
        <v>136</v>
      </c>
      <c r="AM89" s="60" t="s">
        <v>137</v>
      </c>
      <c r="AN89" s="60" t="s">
        <v>138</v>
      </c>
    </row>
    <row r="90" customFormat="false" ht="15" hidden="false" customHeight="false" outlineLevel="0" collapsed="false">
      <c r="A90" s="1" t="n">
        <v>17</v>
      </c>
      <c r="B90" s="1" t="s">
        <v>310</v>
      </c>
      <c r="C90" s="1" t="s">
        <v>203</v>
      </c>
      <c r="D90" s="1" t="n">
        <v>6</v>
      </c>
      <c r="E90" s="78" t="s">
        <v>145</v>
      </c>
      <c r="F90" s="95"/>
      <c r="G90" s="1" t="n">
        <v>2</v>
      </c>
      <c r="H90" s="96"/>
      <c r="I90" s="96" t="n">
        <v>2</v>
      </c>
      <c r="J90" s="96" t="n">
        <v>1</v>
      </c>
      <c r="K90" s="78" t="n">
        <v>0</v>
      </c>
      <c r="L90" s="96" t="n">
        <f aca="false">K90/4</f>
        <v>0</v>
      </c>
      <c r="M90" s="96" t="n">
        <f aca="false">I90+L90</f>
        <v>2</v>
      </c>
      <c r="N90" s="96" t="n">
        <f aca="false">J90</f>
        <v>1</v>
      </c>
      <c r="O90" s="1" t="s">
        <v>129</v>
      </c>
      <c r="P90" s="1" t="s">
        <v>130</v>
      </c>
      <c r="Q90" s="1" t="s">
        <v>287</v>
      </c>
      <c r="R90" s="1" t="s">
        <v>289</v>
      </c>
      <c r="S90" s="1" t="n">
        <v>2497</v>
      </c>
      <c r="T90" s="97" t="s">
        <v>132</v>
      </c>
      <c r="U90" s="97"/>
      <c r="V90" s="98" t="n">
        <v>32123</v>
      </c>
      <c r="W90" s="98"/>
      <c r="X90" s="98" t="s">
        <v>171</v>
      </c>
      <c r="Y90" s="99" t="s">
        <v>132</v>
      </c>
      <c r="Z90" s="100"/>
      <c r="AA90" s="100"/>
      <c r="AB90" s="100" t="n">
        <v>2</v>
      </c>
      <c r="AC90" s="100"/>
      <c r="AD90" s="96"/>
      <c r="AE90" s="96" t="n">
        <f aca="false">M90</f>
        <v>2</v>
      </c>
      <c r="AF90" s="96" t="n">
        <f aca="false">N90</f>
        <v>1</v>
      </c>
      <c r="AG90" s="31" t="n">
        <v>0</v>
      </c>
      <c r="AH90" s="31" t="n">
        <v>0</v>
      </c>
      <c r="AI90" s="31" t="n">
        <v>2</v>
      </c>
      <c r="AJ90" s="31" t="n">
        <v>1</v>
      </c>
      <c r="AK90" s="60" t="s">
        <v>135</v>
      </c>
      <c r="AL90" s="60" t="s">
        <v>136</v>
      </c>
      <c r="AM90" s="60" t="s">
        <v>137</v>
      </c>
      <c r="AN90" s="60" t="s">
        <v>138</v>
      </c>
    </row>
    <row r="91" customFormat="false" ht="15" hidden="false" customHeight="false" outlineLevel="0" collapsed="false">
      <c r="A91" s="1" t="n">
        <v>18</v>
      </c>
      <c r="B91" s="1" t="s">
        <v>311</v>
      </c>
      <c r="C91" s="1" t="s">
        <v>203</v>
      </c>
      <c r="D91" s="1" t="n">
        <v>6</v>
      </c>
      <c r="E91" s="78" t="str">
        <f aca="false">IF(D91&gt;8,"2 de 30h","1 de 44h")</f>
        <v>1 de 44h</v>
      </c>
      <c r="F91" s="95"/>
      <c r="G91" s="1" t="n">
        <v>2</v>
      </c>
      <c r="H91" s="60"/>
      <c r="I91" s="60"/>
      <c r="J91" s="60" t="n">
        <v>2</v>
      </c>
      <c r="K91" s="78" t="n">
        <v>0</v>
      </c>
      <c r="L91" s="60" t="n">
        <f aca="false">K91/4</f>
        <v>0</v>
      </c>
      <c r="M91" s="60" t="n">
        <f aca="false">I91+L91</f>
        <v>0</v>
      </c>
      <c r="N91" s="60" t="n">
        <f aca="false">J91</f>
        <v>2</v>
      </c>
      <c r="O91" s="1" t="s">
        <v>129</v>
      </c>
      <c r="P91" s="1" t="s">
        <v>130</v>
      </c>
      <c r="Q91" s="1" t="s">
        <v>287</v>
      </c>
      <c r="R91" s="1" t="s">
        <v>289</v>
      </c>
      <c r="S91" s="1" t="n">
        <v>5158</v>
      </c>
      <c r="T91" s="97"/>
      <c r="U91" s="97" t="s">
        <v>131</v>
      </c>
      <c r="V91" s="98" t="n">
        <v>41257</v>
      </c>
      <c r="W91" s="98"/>
      <c r="X91" s="98" t="s">
        <v>312</v>
      </c>
      <c r="Y91" s="99"/>
      <c r="Z91" s="101"/>
      <c r="AA91" s="101"/>
      <c r="AB91" s="101" t="n">
        <v>2</v>
      </c>
      <c r="AC91" s="101"/>
      <c r="AD91" s="60"/>
      <c r="AE91" s="60" t="n">
        <f aca="false">M91</f>
        <v>0</v>
      </c>
      <c r="AF91" s="60" t="n">
        <f aca="false">N91</f>
        <v>2</v>
      </c>
      <c r="AG91" s="102" t="n">
        <v>0</v>
      </c>
      <c r="AH91" s="102" t="n">
        <v>0</v>
      </c>
      <c r="AI91" s="102" t="n">
        <v>0</v>
      </c>
      <c r="AJ91" s="102" t="n">
        <v>2</v>
      </c>
      <c r="AK91" s="60" t="s">
        <v>135</v>
      </c>
      <c r="AL91" s="60" t="s">
        <v>136</v>
      </c>
      <c r="AM91" s="60" t="s">
        <v>137</v>
      </c>
      <c r="AN91" s="60" t="s">
        <v>138</v>
      </c>
    </row>
    <row r="92" customFormat="false" ht="9" hidden="false" customHeight="true" outlineLevel="0" collapsed="false">
      <c r="A92" s="106"/>
      <c r="B92" s="106"/>
      <c r="C92" s="106"/>
      <c r="D92" s="106"/>
      <c r="E92" s="107"/>
      <c r="F92" s="107"/>
      <c r="G92" s="106"/>
      <c r="H92" s="108"/>
      <c r="I92" s="108"/>
      <c r="J92" s="108"/>
      <c r="K92" s="107"/>
      <c r="L92" s="108"/>
      <c r="M92" s="108"/>
      <c r="N92" s="108"/>
      <c r="O92" s="106"/>
      <c r="P92" s="106"/>
      <c r="Q92" s="106"/>
      <c r="R92" s="106"/>
      <c r="S92" s="106"/>
      <c r="T92" s="109"/>
      <c r="U92" s="109"/>
      <c r="V92" s="109"/>
      <c r="W92" s="109"/>
      <c r="X92" s="109"/>
      <c r="Y92" s="109"/>
      <c r="Z92" s="110"/>
      <c r="AA92" s="110"/>
      <c r="AB92" s="110"/>
      <c r="AC92" s="110"/>
      <c r="AD92" s="108"/>
      <c r="AE92" s="108"/>
      <c r="AF92" s="108"/>
      <c r="AG92" s="108"/>
      <c r="AH92" s="108"/>
      <c r="AI92" s="108"/>
      <c r="AJ92" s="108"/>
      <c r="AK92" s="108"/>
      <c r="AL92" s="108"/>
      <c r="AM92" s="108"/>
      <c r="AN92" s="108"/>
    </row>
    <row r="93" customFormat="false" ht="15" hidden="false" customHeight="false" outlineLevel="0" collapsed="false">
      <c r="A93" s="1" t="n">
        <v>1</v>
      </c>
      <c r="B93" s="1" t="s">
        <v>313</v>
      </c>
      <c r="C93" s="1" t="s">
        <v>140</v>
      </c>
      <c r="F93" s="95"/>
      <c r="G93" s="1" t="n">
        <v>1</v>
      </c>
      <c r="H93" s="60" t="n">
        <v>1</v>
      </c>
      <c r="I93" s="60"/>
      <c r="J93" s="60"/>
      <c r="K93" s="78" t="n">
        <v>0</v>
      </c>
      <c r="L93" s="60" t="n">
        <f aca="false">K93/4</f>
        <v>0</v>
      </c>
      <c r="M93" s="60" t="n">
        <f aca="false">I93+L93</f>
        <v>0</v>
      </c>
      <c r="N93" s="60" t="n">
        <f aca="false">J93</f>
        <v>0</v>
      </c>
      <c r="O93" s="1" t="s">
        <v>137</v>
      </c>
      <c r="P93" s="1" t="s">
        <v>314</v>
      </c>
      <c r="Q93" s="1" t="s">
        <v>137</v>
      </c>
      <c r="R93" s="1" t="s">
        <v>137</v>
      </c>
      <c r="S93" s="1" t="n">
        <v>157102</v>
      </c>
      <c r="T93" s="97" t="s">
        <v>132</v>
      </c>
      <c r="U93" s="97"/>
      <c r="V93" s="98" t="n">
        <v>1409351</v>
      </c>
      <c r="W93" s="98" t="n">
        <v>47</v>
      </c>
      <c r="X93" s="98" t="s">
        <v>315</v>
      </c>
      <c r="Y93" s="99" t="s">
        <v>132</v>
      </c>
      <c r="Z93" s="101"/>
      <c r="AA93" s="101"/>
      <c r="AB93" s="101" t="n">
        <v>2</v>
      </c>
      <c r="AC93" s="101" t="n">
        <v>1</v>
      </c>
      <c r="AD93" s="60" t="n">
        <f aca="false">H93</f>
        <v>1</v>
      </c>
      <c r="AE93" s="60" t="n">
        <f aca="false">M93</f>
        <v>0</v>
      </c>
      <c r="AF93" s="60" t="n">
        <f aca="false">N93</f>
        <v>0</v>
      </c>
      <c r="AG93" s="102" t="n">
        <v>0</v>
      </c>
      <c r="AH93" s="102" t="n">
        <v>0</v>
      </c>
      <c r="AI93" s="102" t="n">
        <v>2</v>
      </c>
      <c r="AJ93" s="102" t="n">
        <v>1</v>
      </c>
      <c r="AK93" s="60" t="s">
        <v>316</v>
      </c>
      <c r="AL93" s="60" t="s">
        <v>136</v>
      </c>
      <c r="AM93" s="60" t="s">
        <v>317</v>
      </c>
      <c r="AN93" s="60" t="s">
        <v>318</v>
      </c>
    </row>
    <row r="94" customFormat="false" ht="15" hidden="false" customHeight="false" outlineLevel="0" collapsed="false">
      <c r="A94" s="1" t="n">
        <v>2</v>
      </c>
      <c r="B94" s="1" t="s">
        <v>319</v>
      </c>
      <c r="C94" s="1" t="s">
        <v>184</v>
      </c>
      <c r="D94" s="1" t="n">
        <v>10</v>
      </c>
      <c r="E94" s="78" t="str">
        <f aca="false">IF(D94&gt;8,"2 de 30h","1 de 44h")</f>
        <v>2 de 30h</v>
      </c>
      <c r="F94" s="95"/>
      <c r="G94" s="1" t="n">
        <v>1</v>
      </c>
      <c r="H94" s="96"/>
      <c r="I94" s="96" t="n">
        <v>2</v>
      </c>
      <c r="J94" s="96"/>
      <c r="K94" s="78" t="n">
        <v>0</v>
      </c>
      <c r="L94" s="96" t="n">
        <f aca="false">K94/4</f>
        <v>0</v>
      </c>
      <c r="M94" s="96" t="n">
        <f aca="false">I94+L94</f>
        <v>2</v>
      </c>
      <c r="N94" s="96" t="n">
        <f aca="false">J94</f>
        <v>0</v>
      </c>
      <c r="O94" s="1" t="s">
        <v>137</v>
      </c>
      <c r="P94" s="1" t="s">
        <v>314</v>
      </c>
      <c r="Q94" s="1" t="s">
        <v>137</v>
      </c>
      <c r="R94" s="1" t="s">
        <v>136</v>
      </c>
      <c r="S94" s="1" t="n">
        <v>43793</v>
      </c>
      <c r="T94" s="97" t="s">
        <v>132</v>
      </c>
      <c r="U94" s="97"/>
      <c r="V94" s="98"/>
      <c r="W94" s="98"/>
      <c r="X94" s="98"/>
      <c r="Y94" s="99" t="s">
        <v>132</v>
      </c>
      <c r="Z94" s="100" t="n">
        <v>1</v>
      </c>
      <c r="AA94" s="100" t="n">
        <v>1</v>
      </c>
      <c r="AB94" s="100" t="n">
        <v>6</v>
      </c>
      <c r="AC94" s="100"/>
      <c r="AD94" s="96"/>
      <c r="AE94" s="96" t="n">
        <f aca="false">M94</f>
        <v>2</v>
      </c>
      <c r="AF94" s="96" t="n">
        <f aca="false">N94</f>
        <v>0</v>
      </c>
      <c r="AG94" s="31" t="n">
        <v>1</v>
      </c>
      <c r="AH94" s="31" t="n">
        <v>1</v>
      </c>
      <c r="AI94" s="31" t="n">
        <v>0</v>
      </c>
      <c r="AJ94" s="31" t="n">
        <v>0</v>
      </c>
      <c r="AK94" s="60" t="s">
        <v>316</v>
      </c>
      <c r="AL94" s="60" t="s">
        <v>136</v>
      </c>
      <c r="AM94" s="60" t="s">
        <v>317</v>
      </c>
      <c r="AN94" s="60" t="s">
        <v>318</v>
      </c>
    </row>
    <row r="95" customFormat="false" ht="15" hidden="false" customHeight="false" outlineLevel="0" collapsed="false">
      <c r="A95" s="1" t="n">
        <v>3</v>
      </c>
      <c r="B95" s="1" t="s">
        <v>320</v>
      </c>
      <c r="C95" s="1" t="s">
        <v>141</v>
      </c>
      <c r="F95" s="95"/>
      <c r="G95" s="1" t="n">
        <v>1</v>
      </c>
      <c r="H95" s="60"/>
      <c r="I95" s="60"/>
      <c r="J95" s="60"/>
      <c r="K95" s="78" t="n">
        <v>0</v>
      </c>
      <c r="L95" s="60" t="n">
        <f aca="false">K95/4</f>
        <v>0</v>
      </c>
      <c r="M95" s="60" t="n">
        <f aca="false">I95+L95</f>
        <v>0</v>
      </c>
      <c r="N95" s="60" t="n">
        <f aca="false">J95</f>
        <v>0</v>
      </c>
      <c r="O95" s="1" t="s">
        <v>137</v>
      </c>
      <c r="P95" s="1" t="s">
        <v>314</v>
      </c>
      <c r="Q95" s="1" t="s">
        <v>137</v>
      </c>
      <c r="R95" s="1" t="s">
        <v>136</v>
      </c>
      <c r="S95" s="1" t="n">
        <v>3916</v>
      </c>
      <c r="T95" s="97"/>
      <c r="U95" s="97"/>
      <c r="V95" s="98"/>
      <c r="W95" s="98"/>
      <c r="X95" s="98"/>
      <c r="Y95" s="99"/>
      <c r="Z95" s="101"/>
      <c r="AA95" s="101"/>
      <c r="AB95" s="101"/>
      <c r="AC95" s="101"/>
      <c r="AD95" s="60"/>
      <c r="AE95" s="60" t="n">
        <f aca="false">M95</f>
        <v>0</v>
      </c>
      <c r="AF95" s="60" t="n">
        <f aca="false">N95</f>
        <v>0</v>
      </c>
      <c r="AG95" s="102" t="n">
        <v>0</v>
      </c>
      <c r="AH95" s="102" t="n">
        <v>0</v>
      </c>
      <c r="AI95" s="102" t="n">
        <v>4</v>
      </c>
      <c r="AJ95" s="102" t="n">
        <v>0</v>
      </c>
      <c r="AK95" s="60" t="s">
        <v>316</v>
      </c>
      <c r="AL95" s="60" t="s">
        <v>136</v>
      </c>
      <c r="AM95" s="60" t="s">
        <v>317</v>
      </c>
      <c r="AN95" s="60" t="s">
        <v>318</v>
      </c>
    </row>
    <row r="96" customFormat="false" ht="15" hidden="false" customHeight="false" outlineLevel="0" collapsed="false">
      <c r="A96" s="1" t="n">
        <v>4</v>
      </c>
      <c r="B96" s="1" t="s">
        <v>321</v>
      </c>
      <c r="C96" s="1" t="s">
        <v>184</v>
      </c>
      <c r="D96" s="1" t="n">
        <v>10</v>
      </c>
      <c r="E96" s="78" t="str">
        <f aca="false">IF(D96&gt;8,"2 de 30h","1 de 44h")</f>
        <v>2 de 30h</v>
      </c>
      <c r="F96" s="95" t="s">
        <v>322</v>
      </c>
      <c r="G96" s="1" t="n">
        <v>4</v>
      </c>
      <c r="H96" s="96"/>
      <c r="I96" s="96" t="n">
        <v>8</v>
      </c>
      <c r="J96" s="96"/>
      <c r="K96" s="78" t="n">
        <v>63</v>
      </c>
      <c r="L96" s="96" t="n">
        <f aca="false">ROUNDUP(K96/4,0)</f>
        <v>16</v>
      </c>
      <c r="M96" s="96" t="n">
        <f aca="false">I96+L96</f>
        <v>24</v>
      </c>
      <c r="N96" s="96" t="n">
        <f aca="false">J96</f>
        <v>0</v>
      </c>
      <c r="O96" s="1" t="s">
        <v>137</v>
      </c>
      <c r="P96" s="1" t="s">
        <v>314</v>
      </c>
      <c r="Q96" s="1" t="s">
        <v>137</v>
      </c>
      <c r="R96" s="1" t="s">
        <v>137</v>
      </c>
      <c r="S96" s="1" t="n">
        <v>67939</v>
      </c>
      <c r="T96" s="97" t="s">
        <v>132</v>
      </c>
      <c r="U96" s="97"/>
      <c r="V96" s="98"/>
      <c r="W96" s="98"/>
      <c r="X96" s="98"/>
      <c r="Y96" s="99" t="s">
        <v>132</v>
      </c>
      <c r="Z96" s="100" t="n">
        <v>1</v>
      </c>
      <c r="AA96" s="100" t="n">
        <v>1</v>
      </c>
      <c r="AB96" s="100" t="n">
        <v>18</v>
      </c>
      <c r="AC96" s="100"/>
      <c r="AD96" s="96"/>
      <c r="AE96" s="96" t="n">
        <f aca="false">M96</f>
        <v>24</v>
      </c>
      <c r="AF96" s="96" t="n">
        <f aca="false">N96</f>
        <v>0</v>
      </c>
      <c r="AG96" s="31" t="n">
        <v>1</v>
      </c>
      <c r="AH96" s="31" t="n">
        <v>1</v>
      </c>
      <c r="AI96" s="31" t="n">
        <v>20</v>
      </c>
      <c r="AJ96" s="31" t="n">
        <v>0</v>
      </c>
      <c r="AK96" s="60" t="s">
        <v>316</v>
      </c>
      <c r="AL96" s="60" t="s">
        <v>136</v>
      </c>
      <c r="AM96" s="60" t="s">
        <v>317</v>
      </c>
      <c r="AN96" s="60" t="s">
        <v>318</v>
      </c>
    </row>
    <row r="97" customFormat="false" ht="15" hidden="false" customHeight="false" outlineLevel="0" collapsed="false">
      <c r="A97" s="1" t="n">
        <v>5</v>
      </c>
      <c r="B97" s="1" t="s">
        <v>323</v>
      </c>
      <c r="C97" s="1" t="s">
        <v>184</v>
      </c>
      <c r="D97" s="1" t="n">
        <v>10</v>
      </c>
      <c r="E97" s="78" t="str">
        <f aca="false">IF(D97&gt;8,"2 de 30h","1 de 44h")</f>
        <v>2 de 30h</v>
      </c>
      <c r="F97" s="95"/>
      <c r="G97" s="1" t="n">
        <v>1</v>
      </c>
      <c r="H97" s="60"/>
      <c r="I97" s="60" t="n">
        <v>2</v>
      </c>
      <c r="J97" s="60"/>
      <c r="K97" s="78" t="n">
        <v>0</v>
      </c>
      <c r="L97" s="60" t="n">
        <f aca="false">K97/4</f>
        <v>0</v>
      </c>
      <c r="M97" s="60" t="n">
        <f aca="false">I97+L97</f>
        <v>2</v>
      </c>
      <c r="N97" s="60" t="n">
        <f aca="false">J97</f>
        <v>0</v>
      </c>
      <c r="O97" s="1" t="s">
        <v>137</v>
      </c>
      <c r="P97" s="1" t="s">
        <v>314</v>
      </c>
      <c r="Q97" s="1" t="s">
        <v>137</v>
      </c>
      <c r="R97" s="1" t="s">
        <v>137</v>
      </c>
      <c r="S97" s="1" t="n">
        <v>14796</v>
      </c>
      <c r="T97" s="97" t="s">
        <v>132</v>
      </c>
      <c r="U97" s="97"/>
      <c r="V97" s="98"/>
      <c r="W97" s="98"/>
      <c r="X97" s="98"/>
      <c r="Y97" s="99" t="s">
        <v>132</v>
      </c>
      <c r="Z97" s="101" t="n">
        <v>1</v>
      </c>
      <c r="AA97" s="101" t="n">
        <v>1</v>
      </c>
      <c r="AB97" s="101" t="n">
        <v>2</v>
      </c>
      <c r="AC97" s="101"/>
      <c r="AD97" s="60"/>
      <c r="AE97" s="60" t="n">
        <f aca="false">M97</f>
        <v>2</v>
      </c>
      <c r="AF97" s="60" t="n">
        <f aca="false">N97</f>
        <v>0</v>
      </c>
      <c r="AG97" s="102" t="n">
        <v>1</v>
      </c>
      <c r="AH97" s="102" t="n">
        <v>1</v>
      </c>
      <c r="AI97" s="102" t="n">
        <v>2</v>
      </c>
      <c r="AJ97" s="102" t="n">
        <v>0</v>
      </c>
      <c r="AK97" s="60" t="s">
        <v>316</v>
      </c>
      <c r="AL97" s="60" t="s">
        <v>136</v>
      </c>
      <c r="AM97" s="60" t="s">
        <v>317</v>
      </c>
      <c r="AN97" s="60" t="s">
        <v>318</v>
      </c>
    </row>
    <row r="98" customFormat="false" ht="15" hidden="false" customHeight="false" outlineLevel="0" collapsed="false">
      <c r="A98" s="1" t="n">
        <v>6</v>
      </c>
      <c r="B98" s="1" t="s">
        <v>324</v>
      </c>
      <c r="C98" s="1" t="s">
        <v>184</v>
      </c>
      <c r="D98" s="1" t="n">
        <v>10</v>
      </c>
      <c r="E98" s="78" t="str">
        <f aca="false">IF(D98&gt;8,"2 de 30h","1 de 44h")</f>
        <v>2 de 30h</v>
      </c>
      <c r="F98" s="95"/>
      <c r="G98" s="1" t="n">
        <v>1</v>
      </c>
      <c r="H98" s="96"/>
      <c r="I98" s="96" t="n">
        <v>2</v>
      </c>
      <c r="J98" s="96"/>
      <c r="K98" s="78" t="n">
        <v>0</v>
      </c>
      <c r="L98" s="96" t="n">
        <f aca="false">K98/4</f>
        <v>0</v>
      </c>
      <c r="M98" s="96" t="n">
        <f aca="false">I98+L98</f>
        <v>2</v>
      </c>
      <c r="N98" s="96" t="n">
        <f aca="false">J98</f>
        <v>0</v>
      </c>
      <c r="O98" s="1" t="s">
        <v>136</v>
      </c>
      <c r="P98" s="1" t="s">
        <v>141</v>
      </c>
      <c r="Q98" s="1" t="s">
        <v>141</v>
      </c>
      <c r="R98" s="1" t="s">
        <v>141</v>
      </c>
      <c r="S98" s="1" t="n">
        <v>13222</v>
      </c>
      <c r="T98" s="97"/>
      <c r="U98" s="97"/>
      <c r="V98" s="98" t="n">
        <v>239384</v>
      </c>
      <c r="W98" s="98" t="s">
        <v>325</v>
      </c>
      <c r="X98" s="98" t="s">
        <v>281</v>
      </c>
      <c r="Y98" s="99" t="s">
        <v>132</v>
      </c>
      <c r="Z98" s="100"/>
      <c r="AA98" s="100"/>
      <c r="AB98" s="100" t="n">
        <v>2</v>
      </c>
      <c r="AC98" s="100"/>
      <c r="AD98" s="96"/>
      <c r="AE98" s="96" t="n">
        <f aca="false">M98</f>
        <v>2</v>
      </c>
      <c r="AF98" s="96" t="n">
        <f aca="false">N98</f>
        <v>0</v>
      </c>
      <c r="AG98" s="31" t="n">
        <v>0</v>
      </c>
      <c r="AH98" s="31" t="n">
        <v>0</v>
      </c>
      <c r="AI98" s="31" t="n">
        <v>0</v>
      </c>
      <c r="AJ98" s="31" t="n">
        <v>0</v>
      </c>
      <c r="AK98" s="60" t="s">
        <v>316</v>
      </c>
      <c r="AL98" s="60" t="s">
        <v>136</v>
      </c>
      <c r="AM98" s="60" t="s">
        <v>317</v>
      </c>
      <c r="AN98" s="60" t="s">
        <v>318</v>
      </c>
    </row>
    <row r="99" customFormat="false" ht="15" hidden="false" customHeight="false" outlineLevel="0" collapsed="false">
      <c r="A99" s="1" t="n">
        <v>7</v>
      </c>
      <c r="B99" s="1" t="s">
        <v>326</v>
      </c>
      <c r="C99" s="1" t="s">
        <v>184</v>
      </c>
      <c r="D99" s="1" t="n">
        <v>10</v>
      </c>
      <c r="E99" s="78" t="str">
        <f aca="false">IF(D99&gt;8,"2 de 30h","1 de 44h")</f>
        <v>2 de 30h</v>
      </c>
      <c r="F99" s="95"/>
      <c r="G99" s="1" t="n">
        <v>1</v>
      </c>
      <c r="H99" s="60"/>
      <c r="I99" s="60" t="n">
        <v>2</v>
      </c>
      <c r="J99" s="60"/>
      <c r="K99" s="78" t="n">
        <v>0</v>
      </c>
      <c r="L99" s="60" t="n">
        <f aca="false">K99/4</f>
        <v>0</v>
      </c>
      <c r="M99" s="60" t="n">
        <f aca="false">I99+L99</f>
        <v>2</v>
      </c>
      <c r="N99" s="60" t="n">
        <f aca="false">J99</f>
        <v>0</v>
      </c>
      <c r="O99" s="1" t="s">
        <v>137</v>
      </c>
      <c r="P99" s="1" t="s">
        <v>314</v>
      </c>
      <c r="Q99" s="1" t="s">
        <v>137</v>
      </c>
      <c r="R99" s="1" t="s">
        <v>136</v>
      </c>
      <c r="S99" s="1" t="n">
        <v>13436</v>
      </c>
      <c r="T99" s="97"/>
      <c r="U99" s="97"/>
      <c r="V99" s="98" t="n">
        <v>195673</v>
      </c>
      <c r="W99" s="98" t="s">
        <v>327</v>
      </c>
      <c r="X99" s="98" t="s">
        <v>328</v>
      </c>
      <c r="Y99" s="99" t="s">
        <v>132</v>
      </c>
      <c r="Z99" s="101" t="n">
        <v>1</v>
      </c>
      <c r="AA99" s="101" t="n">
        <v>1</v>
      </c>
      <c r="AB99" s="101" t="n">
        <v>2</v>
      </c>
      <c r="AC99" s="101"/>
      <c r="AD99" s="60"/>
      <c r="AE99" s="60" t="n">
        <f aca="false">M99</f>
        <v>2</v>
      </c>
      <c r="AF99" s="60" t="n">
        <f aca="false">N99</f>
        <v>0</v>
      </c>
      <c r="AG99" s="102" t="n">
        <v>1</v>
      </c>
      <c r="AH99" s="102" t="n">
        <v>1</v>
      </c>
      <c r="AI99" s="102" t="n">
        <v>2</v>
      </c>
      <c r="AJ99" s="102" t="n">
        <v>0</v>
      </c>
      <c r="AK99" s="60" t="s">
        <v>316</v>
      </c>
      <c r="AL99" s="60" t="s">
        <v>136</v>
      </c>
      <c r="AM99" s="60" t="s">
        <v>317</v>
      </c>
      <c r="AN99" s="60" t="s">
        <v>318</v>
      </c>
    </row>
    <row r="100" customFormat="false" ht="15" hidden="false" customHeight="false" outlineLevel="0" collapsed="false">
      <c r="A100" s="1" t="n">
        <v>8</v>
      </c>
      <c r="B100" s="1" t="s">
        <v>329</v>
      </c>
      <c r="C100" s="1" t="s">
        <v>140</v>
      </c>
      <c r="F100" s="95"/>
      <c r="G100" s="1" t="n">
        <v>0</v>
      </c>
      <c r="H100" s="96"/>
      <c r="I100" s="96"/>
      <c r="J100" s="96"/>
      <c r="K100" s="78" t="n">
        <v>0</v>
      </c>
      <c r="L100" s="96" t="n">
        <f aca="false">K100/4</f>
        <v>0</v>
      </c>
      <c r="M100" s="96" t="n">
        <f aca="false">I100+L100</f>
        <v>0</v>
      </c>
      <c r="N100" s="96" t="n">
        <f aca="false">J100</f>
        <v>0</v>
      </c>
      <c r="O100" s="1" t="s">
        <v>137</v>
      </c>
      <c r="P100" s="1" t="s">
        <v>314</v>
      </c>
      <c r="Q100" s="1" t="s">
        <v>137</v>
      </c>
      <c r="R100" s="1" t="s">
        <v>136</v>
      </c>
      <c r="T100" s="97"/>
      <c r="U100" s="97"/>
      <c r="V100" s="98"/>
      <c r="W100" s="98"/>
      <c r="X100" s="98"/>
      <c r="Y100" s="99"/>
      <c r="Z100" s="101"/>
      <c r="AA100" s="101"/>
      <c r="AB100" s="101" t="n">
        <v>2</v>
      </c>
      <c r="AC100" s="100" t="n">
        <v>1</v>
      </c>
      <c r="AD100" s="96"/>
      <c r="AE100" s="96" t="n">
        <f aca="false">M100</f>
        <v>0</v>
      </c>
      <c r="AF100" s="96" t="n">
        <f aca="false">N100</f>
        <v>0</v>
      </c>
      <c r="AG100" s="31" t="n">
        <v>0</v>
      </c>
      <c r="AH100" s="31" t="n">
        <v>0</v>
      </c>
      <c r="AI100" s="31" t="n">
        <v>2</v>
      </c>
      <c r="AJ100" s="31" t="n">
        <v>1</v>
      </c>
      <c r="AK100" s="60" t="s">
        <v>316</v>
      </c>
      <c r="AL100" s="60" t="s">
        <v>136</v>
      </c>
      <c r="AM100" s="60" t="s">
        <v>317</v>
      </c>
      <c r="AN100" s="60" t="s">
        <v>318</v>
      </c>
    </row>
    <row r="101" customFormat="false" ht="9" hidden="false" customHeight="true" outlineLevel="0" collapsed="false">
      <c r="A101" s="106"/>
      <c r="B101" s="106"/>
      <c r="C101" s="106"/>
      <c r="D101" s="106"/>
      <c r="E101" s="107"/>
      <c r="F101" s="107"/>
      <c r="G101" s="106"/>
      <c r="H101" s="108"/>
      <c r="I101" s="108"/>
      <c r="J101" s="108"/>
      <c r="K101" s="107"/>
      <c r="L101" s="108"/>
      <c r="M101" s="108"/>
      <c r="N101" s="108"/>
      <c r="O101" s="106"/>
      <c r="P101" s="106"/>
      <c r="Q101" s="106"/>
      <c r="R101" s="106"/>
      <c r="S101" s="106"/>
      <c r="T101" s="109"/>
      <c r="U101" s="109"/>
      <c r="V101" s="109"/>
      <c r="W101" s="109"/>
      <c r="X101" s="109"/>
      <c r="Y101" s="109"/>
      <c r="Z101" s="110"/>
      <c r="AA101" s="110"/>
      <c r="AB101" s="110"/>
      <c r="AC101" s="110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</row>
    <row r="102" customFormat="false" ht="15" hidden="false" customHeight="false" outlineLevel="0" collapsed="false">
      <c r="A102" s="1" t="n">
        <v>1</v>
      </c>
      <c r="B102" s="1" t="s">
        <v>330</v>
      </c>
      <c r="C102" s="1" t="s">
        <v>128</v>
      </c>
      <c r="F102" s="95"/>
      <c r="G102" s="1" t="n">
        <v>2</v>
      </c>
      <c r="H102" s="96" t="n">
        <v>1</v>
      </c>
      <c r="I102" s="96"/>
      <c r="J102" s="96"/>
      <c r="K102" s="78" t="n">
        <v>0</v>
      </c>
      <c r="L102" s="96" t="n">
        <f aca="false">K102/4</f>
        <v>0</v>
      </c>
      <c r="M102" s="96" t="n">
        <f aca="false">I102+L102</f>
        <v>0</v>
      </c>
      <c r="N102" s="96" t="n">
        <f aca="false">J102</f>
        <v>0</v>
      </c>
      <c r="O102" s="1" t="s">
        <v>129</v>
      </c>
      <c r="P102" s="1" t="s">
        <v>130</v>
      </c>
      <c r="Q102" s="1" t="s">
        <v>129</v>
      </c>
      <c r="R102" s="1" t="s">
        <v>129</v>
      </c>
      <c r="S102" s="1" t="n">
        <v>182305</v>
      </c>
      <c r="T102" s="97"/>
      <c r="U102" s="97" t="s">
        <v>180</v>
      </c>
      <c r="V102" s="98" t="n">
        <v>323827</v>
      </c>
      <c r="W102" s="98" t="s">
        <v>331</v>
      </c>
      <c r="X102" s="98" t="s">
        <v>332</v>
      </c>
      <c r="Y102" s="99" t="s">
        <v>132</v>
      </c>
      <c r="Z102" s="100"/>
      <c r="AA102" s="100"/>
      <c r="AB102" s="100"/>
      <c r="AC102" s="100"/>
      <c r="AD102" s="96" t="n">
        <f aca="false">H102</f>
        <v>1</v>
      </c>
      <c r="AE102" s="96" t="n">
        <f aca="false">M102</f>
        <v>0</v>
      </c>
      <c r="AF102" s="96" t="n">
        <f aca="false">N102</f>
        <v>0</v>
      </c>
      <c r="AG102" s="31" t="n">
        <v>0</v>
      </c>
      <c r="AH102" s="31" t="n">
        <v>0</v>
      </c>
      <c r="AI102" s="31" t="n">
        <v>0</v>
      </c>
      <c r="AJ102" s="31" t="n">
        <v>1</v>
      </c>
      <c r="AK102" s="60" t="s">
        <v>316</v>
      </c>
      <c r="AL102" s="60" t="s">
        <v>136</v>
      </c>
      <c r="AM102" s="60" t="s">
        <v>317</v>
      </c>
      <c r="AN102" s="60" t="s">
        <v>318</v>
      </c>
    </row>
    <row r="103" customFormat="false" ht="15" hidden="false" customHeight="false" outlineLevel="0" collapsed="false">
      <c r="A103" s="1" t="n">
        <v>2</v>
      </c>
      <c r="B103" s="1" t="s">
        <v>333</v>
      </c>
      <c r="C103" s="1" t="s">
        <v>128</v>
      </c>
      <c r="F103" s="95"/>
      <c r="G103" s="1" t="n">
        <v>1</v>
      </c>
      <c r="H103" s="60"/>
      <c r="I103" s="60"/>
      <c r="J103" s="60"/>
      <c r="K103" s="78" t="n">
        <v>0</v>
      </c>
      <c r="L103" s="60" t="n">
        <f aca="false">K103/4</f>
        <v>0</v>
      </c>
      <c r="M103" s="60" t="n">
        <f aca="false">I103+L103</f>
        <v>0</v>
      </c>
      <c r="N103" s="60" t="n">
        <f aca="false">J103</f>
        <v>0</v>
      </c>
      <c r="O103" s="1" t="s">
        <v>129</v>
      </c>
      <c r="P103" s="1" t="s">
        <v>130</v>
      </c>
      <c r="Q103" s="1" t="s">
        <v>129</v>
      </c>
      <c r="R103" s="1" t="s">
        <v>131</v>
      </c>
      <c r="T103" s="97" t="s">
        <v>132</v>
      </c>
      <c r="U103" s="97"/>
      <c r="V103" s="98"/>
      <c r="W103" s="98"/>
      <c r="X103" s="98"/>
      <c r="Y103" s="99" t="s">
        <v>132</v>
      </c>
      <c r="Z103" s="101" t="n">
        <v>1</v>
      </c>
      <c r="AA103" s="101" t="n">
        <v>1</v>
      </c>
      <c r="AB103" s="101"/>
      <c r="AC103" s="101"/>
      <c r="AD103" s="60"/>
      <c r="AE103" s="60" t="n">
        <v>2</v>
      </c>
      <c r="AF103" s="60" t="n">
        <f aca="false">N103</f>
        <v>0</v>
      </c>
      <c r="AG103" s="102" t="n">
        <v>1</v>
      </c>
      <c r="AH103" s="102" t="n">
        <v>1</v>
      </c>
      <c r="AI103" s="102" t="n">
        <v>0</v>
      </c>
      <c r="AJ103" s="102" t="n">
        <v>0</v>
      </c>
      <c r="AK103" s="60" t="s">
        <v>316</v>
      </c>
      <c r="AL103" s="60" t="s">
        <v>136</v>
      </c>
      <c r="AM103" s="60" t="s">
        <v>317</v>
      </c>
      <c r="AN103" s="60" t="s">
        <v>318</v>
      </c>
    </row>
    <row r="104" customFormat="false" ht="15" hidden="false" customHeight="false" outlineLevel="0" collapsed="false">
      <c r="A104" s="1" t="n">
        <v>3</v>
      </c>
      <c r="B104" s="1" t="s">
        <v>334</v>
      </c>
      <c r="C104" s="1" t="s">
        <v>128</v>
      </c>
      <c r="F104" s="95"/>
      <c r="G104" s="1" t="n">
        <v>1</v>
      </c>
      <c r="H104" s="96"/>
      <c r="I104" s="96"/>
      <c r="J104" s="96"/>
      <c r="K104" s="78" t="n">
        <v>0</v>
      </c>
      <c r="L104" s="96" t="n">
        <f aca="false">K104/4</f>
        <v>0</v>
      </c>
      <c r="M104" s="96" t="n">
        <f aca="false">I104+L104</f>
        <v>0</v>
      </c>
      <c r="N104" s="96" t="n">
        <f aca="false">J104</f>
        <v>0</v>
      </c>
      <c r="O104" s="1" t="s">
        <v>129</v>
      </c>
      <c r="P104" s="1" t="s">
        <v>130</v>
      </c>
      <c r="Q104" s="1" t="s">
        <v>129</v>
      </c>
      <c r="R104" s="1" t="s">
        <v>131</v>
      </c>
      <c r="T104" s="97"/>
      <c r="U104" s="97"/>
      <c r="V104" s="98"/>
      <c r="W104" s="98"/>
      <c r="X104" s="98"/>
      <c r="Y104" s="99"/>
      <c r="Z104" s="100" t="n">
        <v>1</v>
      </c>
      <c r="AA104" s="100"/>
      <c r="AB104" s="100"/>
      <c r="AC104" s="100"/>
      <c r="AD104" s="96"/>
      <c r="AE104" s="96" t="n">
        <f aca="false">M104</f>
        <v>0</v>
      </c>
      <c r="AF104" s="96" t="n">
        <f aca="false">N104</f>
        <v>0</v>
      </c>
      <c r="AG104" s="31" t="n">
        <v>1</v>
      </c>
      <c r="AH104" s="31" t="n">
        <v>0</v>
      </c>
      <c r="AI104" s="31" t="n">
        <v>0</v>
      </c>
      <c r="AJ104" s="31" t="n">
        <v>0</v>
      </c>
      <c r="AK104" s="60" t="s">
        <v>316</v>
      </c>
      <c r="AL104" s="60" t="s">
        <v>136</v>
      </c>
      <c r="AM104" s="60" t="s">
        <v>317</v>
      </c>
      <c r="AN104" s="60" t="s">
        <v>318</v>
      </c>
    </row>
    <row r="105" customFormat="false" ht="15" hidden="false" customHeight="false" outlineLevel="0" collapsed="false">
      <c r="A105" s="1" t="n">
        <v>4</v>
      </c>
      <c r="B105" s="1" t="s">
        <v>335</v>
      </c>
      <c r="C105" s="1" t="s">
        <v>336</v>
      </c>
      <c r="D105" s="1" t="n">
        <v>10</v>
      </c>
      <c r="E105" s="78" t="str">
        <f aca="false">IF(D105&gt;8,"2 de 30h","1 de 44h")</f>
        <v>2 de 30h</v>
      </c>
      <c r="F105" s="95"/>
      <c r="G105" s="1" t="n">
        <v>1</v>
      </c>
      <c r="H105" s="60"/>
      <c r="I105" s="60" t="n">
        <v>2</v>
      </c>
      <c r="J105" s="60"/>
      <c r="K105" s="78" t="n">
        <v>4</v>
      </c>
      <c r="L105" s="60" t="n">
        <f aca="false">K105/4</f>
        <v>1</v>
      </c>
      <c r="M105" s="60" t="n">
        <f aca="false">I105+L105</f>
        <v>3</v>
      </c>
      <c r="N105" s="60" t="n">
        <f aca="false">J105</f>
        <v>0</v>
      </c>
      <c r="O105" s="1" t="s">
        <v>129</v>
      </c>
      <c r="P105" s="1" t="s">
        <v>185</v>
      </c>
      <c r="Q105" s="1" t="s">
        <v>131</v>
      </c>
      <c r="R105" s="1" t="s">
        <v>337</v>
      </c>
      <c r="S105" s="1" t="n">
        <v>16094</v>
      </c>
      <c r="T105" s="97"/>
      <c r="U105" s="97"/>
      <c r="V105" s="98" t="n">
        <v>118278</v>
      </c>
      <c r="W105" s="98" t="s">
        <v>338</v>
      </c>
      <c r="X105" s="98" t="s">
        <v>264</v>
      </c>
      <c r="Y105" s="99" t="s">
        <v>132</v>
      </c>
      <c r="Z105" s="101"/>
      <c r="AA105" s="101"/>
      <c r="AB105" s="101"/>
      <c r="AC105" s="101" t="n">
        <v>2</v>
      </c>
      <c r="AD105" s="60"/>
      <c r="AE105" s="60" t="n">
        <f aca="false">M105</f>
        <v>3</v>
      </c>
      <c r="AF105" s="60" t="n">
        <f aca="false">N105</f>
        <v>0</v>
      </c>
      <c r="AG105" s="102" t="n">
        <v>0</v>
      </c>
      <c r="AH105" s="102" t="n">
        <v>0</v>
      </c>
      <c r="AI105" s="102" t="n">
        <v>2</v>
      </c>
      <c r="AJ105" s="102" t="n">
        <v>1</v>
      </c>
      <c r="AK105" s="60" t="s">
        <v>316</v>
      </c>
      <c r="AL105" s="60" t="s">
        <v>136</v>
      </c>
      <c r="AM105" s="60" t="s">
        <v>317</v>
      </c>
      <c r="AN105" s="60" t="s">
        <v>318</v>
      </c>
    </row>
    <row r="106" customFormat="false" ht="15" hidden="false" customHeight="false" outlineLevel="0" collapsed="false">
      <c r="A106" s="1" t="n">
        <v>5</v>
      </c>
      <c r="B106" s="1" t="s">
        <v>339</v>
      </c>
      <c r="C106" s="1" t="s">
        <v>336</v>
      </c>
      <c r="D106" s="1" t="n">
        <v>10</v>
      </c>
      <c r="E106" s="78" t="str">
        <f aca="false">IF(D106&gt;8,"2 de 30h","1 de 44h")</f>
        <v>2 de 30h</v>
      </c>
      <c r="F106" s="95"/>
      <c r="G106" s="1" t="n">
        <v>1</v>
      </c>
      <c r="H106" s="96"/>
      <c r="I106" s="96" t="n">
        <v>2</v>
      </c>
      <c r="J106" s="96"/>
      <c r="K106" s="78" t="n">
        <v>12</v>
      </c>
      <c r="L106" s="96" t="n">
        <f aca="false">K106/4</f>
        <v>3</v>
      </c>
      <c r="M106" s="96" t="n">
        <f aca="false">I106+L106</f>
        <v>5</v>
      </c>
      <c r="N106" s="96" t="n">
        <f aca="false">J106</f>
        <v>0</v>
      </c>
      <c r="O106" s="1" t="s">
        <v>129</v>
      </c>
      <c r="P106" s="1" t="s">
        <v>130</v>
      </c>
      <c r="Q106" s="1" t="s">
        <v>129</v>
      </c>
      <c r="R106" s="1" t="s">
        <v>129</v>
      </c>
      <c r="S106" s="1" t="n">
        <v>38409</v>
      </c>
      <c r="T106" s="97"/>
      <c r="U106" s="97"/>
      <c r="V106" s="98"/>
      <c r="W106" s="98"/>
      <c r="X106" s="98"/>
      <c r="Y106" s="99"/>
      <c r="Z106" s="100"/>
      <c r="AA106" s="100"/>
      <c r="AB106" s="100"/>
      <c r="AC106" s="100" t="n">
        <v>4</v>
      </c>
      <c r="AD106" s="96"/>
      <c r="AE106" s="96" t="n">
        <f aca="false">M106</f>
        <v>5</v>
      </c>
      <c r="AF106" s="96" t="n">
        <f aca="false">N106</f>
        <v>0</v>
      </c>
      <c r="AG106" s="31" t="n">
        <v>0</v>
      </c>
      <c r="AH106" s="31" t="n">
        <v>0</v>
      </c>
      <c r="AI106" s="31" t="n">
        <v>5</v>
      </c>
      <c r="AJ106" s="31" t="n">
        <v>0</v>
      </c>
      <c r="AK106" s="60" t="s">
        <v>316</v>
      </c>
      <c r="AL106" s="60" t="s">
        <v>136</v>
      </c>
      <c r="AM106" s="60" t="s">
        <v>317</v>
      </c>
      <c r="AN106" s="60" t="s">
        <v>318</v>
      </c>
    </row>
    <row r="107" customFormat="false" ht="15" hidden="false" customHeight="false" outlineLevel="0" collapsed="false">
      <c r="A107" s="1" t="n">
        <v>6</v>
      </c>
      <c r="B107" s="1" t="s">
        <v>340</v>
      </c>
      <c r="C107" s="1" t="s">
        <v>336</v>
      </c>
      <c r="D107" s="1" t="n">
        <v>10</v>
      </c>
      <c r="E107" s="78" t="str">
        <f aca="false">IF(D107&gt;8,"2 de 30h","1 de 44h")</f>
        <v>2 de 30h</v>
      </c>
      <c r="F107" s="95"/>
      <c r="G107" s="1" t="n">
        <v>1</v>
      </c>
      <c r="H107" s="60"/>
      <c r="I107" s="60" t="n">
        <v>2</v>
      </c>
      <c r="J107" s="60"/>
      <c r="K107" s="78" t="n">
        <v>9</v>
      </c>
      <c r="L107" s="60" t="n">
        <f aca="false">ROUNDUP(K107/4,0)</f>
        <v>3</v>
      </c>
      <c r="M107" s="60" t="n">
        <f aca="false">I107+L107</f>
        <v>5</v>
      </c>
      <c r="N107" s="60" t="n">
        <f aca="false">J107</f>
        <v>0</v>
      </c>
      <c r="O107" s="1" t="s">
        <v>129</v>
      </c>
      <c r="P107" s="1" t="s">
        <v>130</v>
      </c>
      <c r="Q107" s="1" t="s">
        <v>129</v>
      </c>
      <c r="R107" s="1" t="s">
        <v>129</v>
      </c>
      <c r="S107" s="1" t="n">
        <v>29883</v>
      </c>
      <c r="T107" s="97" t="s">
        <v>132</v>
      </c>
      <c r="U107" s="97"/>
      <c r="V107" s="98" t="n">
        <v>80755</v>
      </c>
      <c r="W107" s="98"/>
      <c r="X107" s="98" t="s">
        <v>341</v>
      </c>
      <c r="Y107" s="99"/>
      <c r="Z107" s="101"/>
      <c r="AA107" s="101"/>
      <c r="AB107" s="101"/>
      <c r="AC107" s="101" t="n">
        <v>3</v>
      </c>
      <c r="AD107" s="60"/>
      <c r="AE107" s="60" t="n">
        <f aca="false">M107</f>
        <v>5</v>
      </c>
      <c r="AF107" s="60" t="n">
        <f aca="false">N107</f>
        <v>0</v>
      </c>
      <c r="AG107" s="102" t="n">
        <v>0</v>
      </c>
      <c r="AH107" s="102" t="n">
        <v>0</v>
      </c>
      <c r="AI107" s="102" t="n">
        <v>5</v>
      </c>
      <c r="AJ107" s="102" t="n">
        <v>0</v>
      </c>
      <c r="AK107" s="60" t="s">
        <v>316</v>
      </c>
      <c r="AL107" s="60" t="s">
        <v>136</v>
      </c>
      <c r="AM107" s="60" t="s">
        <v>317</v>
      </c>
      <c r="AN107" s="60" t="s">
        <v>318</v>
      </c>
    </row>
    <row r="108" customFormat="false" ht="15" hidden="false" customHeight="false" outlineLevel="0" collapsed="false">
      <c r="A108" s="1" t="n">
        <v>7</v>
      </c>
      <c r="B108" s="1" t="s">
        <v>342</v>
      </c>
      <c r="C108" s="1" t="s">
        <v>336</v>
      </c>
      <c r="D108" s="1" t="n">
        <v>10</v>
      </c>
      <c r="E108" s="78" t="str">
        <f aca="false">IF(D108&gt;8,"2 de 30h","1 de 44h")</f>
        <v>2 de 30h</v>
      </c>
      <c r="F108" s="95"/>
      <c r="G108" s="1" t="n">
        <v>1</v>
      </c>
      <c r="H108" s="96"/>
      <c r="I108" s="96" t="n">
        <v>2</v>
      </c>
      <c r="J108" s="96"/>
      <c r="K108" s="78" t="n">
        <v>5</v>
      </c>
      <c r="L108" s="96" t="n">
        <f aca="false">ROUNDUP(K108/4,0)</f>
        <v>2</v>
      </c>
      <c r="M108" s="96" t="n">
        <f aca="false">I108+L108</f>
        <v>4</v>
      </c>
      <c r="N108" s="96" t="n">
        <f aca="false">J108</f>
        <v>0</v>
      </c>
      <c r="O108" s="1" t="s">
        <v>129</v>
      </c>
      <c r="P108" s="1" t="s">
        <v>130</v>
      </c>
      <c r="Q108" s="1" t="s">
        <v>129</v>
      </c>
      <c r="R108" s="1" t="s">
        <v>129</v>
      </c>
      <c r="S108" s="1" t="n">
        <v>28639</v>
      </c>
      <c r="T108" s="97"/>
      <c r="U108" s="97"/>
      <c r="V108" s="98" t="n">
        <v>255660</v>
      </c>
      <c r="W108" s="98" t="n">
        <v>60</v>
      </c>
      <c r="X108" s="98" t="s">
        <v>343</v>
      </c>
      <c r="Y108" s="99" t="s">
        <v>132</v>
      </c>
      <c r="Z108" s="100"/>
      <c r="AA108" s="100"/>
      <c r="AB108" s="100"/>
      <c r="AC108" s="100" t="n">
        <v>3</v>
      </c>
      <c r="AD108" s="96"/>
      <c r="AE108" s="96" t="n">
        <f aca="false">M108</f>
        <v>4</v>
      </c>
      <c r="AF108" s="96" t="n">
        <f aca="false">N108</f>
        <v>0</v>
      </c>
      <c r="AG108" s="31" t="n">
        <v>0</v>
      </c>
      <c r="AH108" s="31" t="n">
        <v>0</v>
      </c>
      <c r="AI108" s="31" t="n">
        <v>4</v>
      </c>
      <c r="AJ108" s="31" t="n">
        <v>1</v>
      </c>
      <c r="AK108" s="60" t="s">
        <v>316</v>
      </c>
      <c r="AL108" s="60" t="s">
        <v>136</v>
      </c>
      <c r="AM108" s="60" t="s">
        <v>317</v>
      </c>
      <c r="AN108" s="60" t="s">
        <v>318</v>
      </c>
    </row>
    <row r="109" customFormat="false" ht="15" hidden="false" customHeight="false" outlineLevel="0" collapsed="false">
      <c r="A109" s="1" t="n">
        <v>8</v>
      </c>
      <c r="B109" s="1" t="s">
        <v>344</v>
      </c>
      <c r="C109" s="1" t="s">
        <v>336</v>
      </c>
      <c r="D109" s="1" t="n">
        <v>10</v>
      </c>
      <c r="E109" s="78" t="str">
        <f aca="false">IF(D109&gt;8,"2 de 30h","1 de 44h")</f>
        <v>2 de 30h</v>
      </c>
      <c r="F109" s="95"/>
      <c r="G109" s="1" t="n">
        <v>1</v>
      </c>
      <c r="H109" s="60"/>
      <c r="I109" s="60" t="n">
        <v>2</v>
      </c>
      <c r="J109" s="60"/>
      <c r="K109" s="78" t="n">
        <v>5</v>
      </c>
      <c r="L109" s="60" t="n">
        <f aca="false">ROUNDUP(K109/4,0)</f>
        <v>2</v>
      </c>
      <c r="M109" s="60" t="n">
        <f aca="false">I109+L109</f>
        <v>4</v>
      </c>
      <c r="N109" s="60" t="n">
        <f aca="false">J109</f>
        <v>0</v>
      </c>
      <c r="O109" s="1" t="s">
        <v>131</v>
      </c>
      <c r="P109" s="1" t="s">
        <v>185</v>
      </c>
      <c r="Q109" s="1" t="s">
        <v>131</v>
      </c>
      <c r="R109" s="1" t="s">
        <v>337</v>
      </c>
      <c r="S109" s="1" t="n">
        <v>21974</v>
      </c>
      <c r="T109" s="97"/>
      <c r="U109" s="97"/>
      <c r="V109" s="98" t="n">
        <v>95204</v>
      </c>
      <c r="W109" s="98"/>
      <c r="X109" s="98" t="s">
        <v>236</v>
      </c>
      <c r="Y109" s="99"/>
      <c r="Z109" s="101"/>
      <c r="AA109" s="101"/>
      <c r="AB109" s="101"/>
      <c r="AC109" s="101" t="n">
        <v>3</v>
      </c>
      <c r="AD109" s="60"/>
      <c r="AE109" s="60" t="n">
        <f aca="false">M109</f>
        <v>4</v>
      </c>
      <c r="AF109" s="60" t="n">
        <f aca="false">N109</f>
        <v>0</v>
      </c>
      <c r="AG109" s="102" t="n">
        <v>0</v>
      </c>
      <c r="AH109" s="102" t="n">
        <v>0</v>
      </c>
      <c r="AI109" s="102" t="n">
        <v>4</v>
      </c>
      <c r="AJ109" s="102" t="n">
        <v>0</v>
      </c>
      <c r="AK109" s="60" t="s">
        <v>345</v>
      </c>
      <c r="AL109" s="60" t="s">
        <v>136</v>
      </c>
      <c r="AM109" s="60" t="s">
        <v>317</v>
      </c>
      <c r="AN109" s="60" t="s">
        <v>318</v>
      </c>
    </row>
    <row r="110" customFormat="false" ht="15" hidden="false" customHeight="false" outlineLevel="0" collapsed="false">
      <c r="A110" s="1" t="n">
        <v>9</v>
      </c>
      <c r="B110" s="1" t="s">
        <v>346</v>
      </c>
      <c r="C110" s="1" t="s">
        <v>336</v>
      </c>
      <c r="D110" s="1" t="n">
        <v>10</v>
      </c>
      <c r="E110" s="78" t="str">
        <f aca="false">IF(D110&gt;8,"2 de 30h","1 de 44h")</f>
        <v>2 de 30h</v>
      </c>
      <c r="F110" s="95"/>
      <c r="G110" s="1" t="n">
        <v>1</v>
      </c>
      <c r="H110" s="96"/>
      <c r="I110" s="96" t="n">
        <v>2</v>
      </c>
      <c r="J110" s="96"/>
      <c r="K110" s="78" t="n">
        <v>4</v>
      </c>
      <c r="L110" s="96" t="n">
        <f aca="false">K110/4</f>
        <v>1</v>
      </c>
      <c r="M110" s="96" t="n">
        <f aca="false">I110+L110</f>
        <v>3</v>
      </c>
      <c r="N110" s="96" t="n">
        <f aca="false">J110</f>
        <v>0</v>
      </c>
      <c r="O110" s="1" t="s">
        <v>129</v>
      </c>
      <c r="P110" s="1" t="s">
        <v>130</v>
      </c>
      <c r="Q110" s="1" t="s">
        <v>131</v>
      </c>
      <c r="R110" s="1" t="s">
        <v>131</v>
      </c>
      <c r="S110" s="1" t="n">
        <v>20204</v>
      </c>
      <c r="T110" s="97"/>
      <c r="U110" s="97"/>
      <c r="V110" s="98" t="n">
        <v>40906</v>
      </c>
      <c r="W110" s="98"/>
      <c r="X110" s="98" t="s">
        <v>168</v>
      </c>
      <c r="Y110" s="99"/>
      <c r="Z110" s="100"/>
      <c r="AA110" s="100"/>
      <c r="AB110" s="100"/>
      <c r="AC110" s="100" t="n">
        <v>3</v>
      </c>
      <c r="AD110" s="96"/>
      <c r="AE110" s="96" t="n">
        <f aca="false">M110</f>
        <v>3</v>
      </c>
      <c r="AF110" s="96" t="n">
        <f aca="false">N110</f>
        <v>0</v>
      </c>
      <c r="AG110" s="31" t="n">
        <v>0</v>
      </c>
      <c r="AH110" s="31" t="n">
        <v>0</v>
      </c>
      <c r="AI110" s="31" t="n">
        <v>2</v>
      </c>
      <c r="AJ110" s="31" t="n">
        <v>1</v>
      </c>
      <c r="AK110" s="60" t="s">
        <v>316</v>
      </c>
      <c r="AL110" s="60" t="s">
        <v>136</v>
      </c>
      <c r="AM110" s="60" t="s">
        <v>317</v>
      </c>
      <c r="AN110" s="60" t="s">
        <v>318</v>
      </c>
    </row>
    <row r="111" customFormat="false" ht="15" hidden="false" customHeight="false" outlineLevel="0" collapsed="false">
      <c r="A111" s="1" t="n">
        <v>10</v>
      </c>
      <c r="B111" s="1" t="s">
        <v>347</v>
      </c>
      <c r="C111" s="1" t="s">
        <v>348</v>
      </c>
      <c r="D111" s="1" t="n">
        <v>6</v>
      </c>
      <c r="E111" s="78" t="str">
        <f aca="false">IF(D111&gt;8,"2 de 30h","1 de 44h")</f>
        <v>1 de 44h</v>
      </c>
      <c r="F111" s="95"/>
      <c r="G111" s="1" t="n">
        <v>1</v>
      </c>
      <c r="H111" s="60"/>
      <c r="I111" s="60"/>
      <c r="J111" s="60" t="n">
        <v>1</v>
      </c>
      <c r="K111" s="78" t="n">
        <v>0</v>
      </c>
      <c r="L111" s="60" t="n">
        <f aca="false">K111/4</f>
        <v>0</v>
      </c>
      <c r="M111" s="60" t="n">
        <f aca="false">I111+L111</f>
        <v>0</v>
      </c>
      <c r="N111" s="60" t="n">
        <f aca="false">J111</f>
        <v>1</v>
      </c>
      <c r="O111" s="1" t="s">
        <v>129</v>
      </c>
      <c r="P111" s="1" t="s">
        <v>130</v>
      </c>
      <c r="Q111" s="1" t="s">
        <v>129</v>
      </c>
      <c r="R111" s="1" t="s">
        <v>131</v>
      </c>
      <c r="S111" s="1" t="n">
        <v>8279</v>
      </c>
      <c r="T111" s="97"/>
      <c r="U111" s="97"/>
      <c r="V111" s="98" t="n">
        <v>22134</v>
      </c>
      <c r="W111" s="98"/>
      <c r="X111" s="98" t="s">
        <v>349</v>
      </c>
      <c r="Y111" s="99"/>
      <c r="Z111" s="101"/>
      <c r="AA111" s="101"/>
      <c r="AB111" s="101"/>
      <c r="AC111" s="101" t="n">
        <v>2</v>
      </c>
      <c r="AD111" s="60"/>
      <c r="AE111" s="60" t="n">
        <f aca="false">M111</f>
        <v>0</v>
      </c>
      <c r="AF111" s="60" t="n">
        <f aca="false">N111</f>
        <v>1</v>
      </c>
      <c r="AG111" s="102" t="n">
        <v>0</v>
      </c>
      <c r="AH111" s="102" t="n">
        <v>0</v>
      </c>
      <c r="AI111" s="102" t="n">
        <v>1</v>
      </c>
      <c r="AJ111" s="102" t="n">
        <v>1</v>
      </c>
      <c r="AK111" s="60" t="s">
        <v>316</v>
      </c>
      <c r="AL111" s="60" t="s">
        <v>136</v>
      </c>
      <c r="AM111" s="60" t="s">
        <v>317</v>
      </c>
      <c r="AN111" s="60" t="s">
        <v>318</v>
      </c>
    </row>
    <row r="112" customFormat="false" ht="15" hidden="false" customHeight="false" outlineLevel="0" collapsed="false">
      <c r="A112" s="1" t="n">
        <v>11</v>
      </c>
      <c r="B112" s="1" t="s">
        <v>350</v>
      </c>
      <c r="C112" s="1" t="s">
        <v>336</v>
      </c>
      <c r="D112" s="1" t="n">
        <v>10</v>
      </c>
      <c r="E112" s="78" t="str">
        <f aca="false">IF(D112&gt;8,"2 de 30h","1 de 44h")</f>
        <v>2 de 30h</v>
      </c>
      <c r="F112" s="95"/>
      <c r="G112" s="1" t="n">
        <v>1</v>
      </c>
      <c r="H112" s="96"/>
      <c r="I112" s="96" t="n">
        <v>2</v>
      </c>
      <c r="J112" s="96"/>
      <c r="K112" s="78" t="n">
        <v>2</v>
      </c>
      <c r="L112" s="96" t="n">
        <f aca="false">ROUNDUP(K112/4,0)</f>
        <v>1</v>
      </c>
      <c r="M112" s="96" t="n">
        <f aca="false">I112+L112</f>
        <v>3</v>
      </c>
      <c r="N112" s="96" t="n">
        <f aca="false">J112</f>
        <v>0</v>
      </c>
      <c r="O112" s="1" t="s">
        <v>129</v>
      </c>
      <c r="P112" s="1" t="s">
        <v>130</v>
      </c>
      <c r="Q112" s="1" t="s">
        <v>129</v>
      </c>
      <c r="R112" s="1" t="s">
        <v>129</v>
      </c>
      <c r="S112" s="1" t="n">
        <v>8532</v>
      </c>
      <c r="T112" s="97"/>
      <c r="U112" s="97"/>
      <c r="V112" s="98" t="n">
        <v>34656</v>
      </c>
      <c r="W112" s="98"/>
      <c r="X112" s="98" t="s">
        <v>351</v>
      </c>
      <c r="Y112" s="99"/>
      <c r="Z112" s="100"/>
      <c r="AA112" s="100"/>
      <c r="AB112" s="100"/>
      <c r="AC112" s="100" t="n">
        <v>2</v>
      </c>
      <c r="AD112" s="96"/>
      <c r="AE112" s="96" t="n">
        <f aca="false">M112</f>
        <v>3</v>
      </c>
      <c r="AF112" s="96" t="n">
        <f aca="false">N112</f>
        <v>0</v>
      </c>
      <c r="AG112" s="31" t="n">
        <v>0</v>
      </c>
      <c r="AH112" s="31" t="n">
        <v>0</v>
      </c>
      <c r="AI112" s="31" t="n">
        <v>2</v>
      </c>
      <c r="AJ112" s="31" t="n">
        <v>1</v>
      </c>
      <c r="AK112" s="60" t="s">
        <v>316</v>
      </c>
      <c r="AL112" s="60" t="s">
        <v>136</v>
      </c>
      <c r="AM112" s="60" t="s">
        <v>317</v>
      </c>
      <c r="AN112" s="60" t="s">
        <v>318</v>
      </c>
    </row>
    <row r="113" customFormat="false" ht="15" hidden="false" customHeight="false" outlineLevel="0" collapsed="false">
      <c r="A113" s="1" t="n">
        <v>12</v>
      </c>
      <c r="B113" s="1" t="s">
        <v>352</v>
      </c>
      <c r="C113" s="1" t="s">
        <v>348</v>
      </c>
      <c r="D113" s="1" t="n">
        <v>6</v>
      </c>
      <c r="E113" s="78" t="str">
        <f aca="false">IF(D113&gt;8,"2 de 30h","1 de 44h")</f>
        <v>1 de 44h</v>
      </c>
      <c r="F113" s="95"/>
      <c r="G113" s="1" t="n">
        <v>1</v>
      </c>
      <c r="H113" s="60"/>
      <c r="I113" s="60"/>
      <c r="J113" s="60" t="n">
        <v>1</v>
      </c>
      <c r="K113" s="78" t="n">
        <v>0</v>
      </c>
      <c r="L113" s="60" t="n">
        <f aca="false">K113/4</f>
        <v>0</v>
      </c>
      <c r="M113" s="60" t="n">
        <f aca="false">I113+L113</f>
        <v>0</v>
      </c>
      <c r="N113" s="60" t="n">
        <f aca="false">J113</f>
        <v>1</v>
      </c>
      <c r="O113" s="1" t="s">
        <v>129</v>
      </c>
      <c r="P113" s="1" t="s">
        <v>130</v>
      </c>
      <c r="Q113" s="1" t="s">
        <v>129</v>
      </c>
      <c r="R113" s="1" t="s">
        <v>131</v>
      </c>
      <c r="S113" s="1" t="n">
        <v>4155</v>
      </c>
      <c r="T113" s="97"/>
      <c r="U113" s="97"/>
      <c r="V113" s="98" t="n">
        <v>20406</v>
      </c>
      <c r="W113" s="98"/>
      <c r="X113" s="98" t="s">
        <v>353</v>
      </c>
      <c r="Y113" s="99"/>
      <c r="Z113" s="101"/>
      <c r="AA113" s="101"/>
      <c r="AB113" s="101"/>
      <c r="AC113" s="101" t="n">
        <v>1</v>
      </c>
      <c r="AD113" s="60"/>
      <c r="AE113" s="60" t="n">
        <f aca="false">M113</f>
        <v>0</v>
      </c>
      <c r="AF113" s="60" t="n">
        <f aca="false">N113</f>
        <v>1</v>
      </c>
      <c r="AG113" s="102" t="n">
        <v>0</v>
      </c>
      <c r="AH113" s="102" t="n">
        <v>0</v>
      </c>
      <c r="AI113" s="102" t="n">
        <v>0</v>
      </c>
      <c r="AJ113" s="102" t="n">
        <v>1</v>
      </c>
      <c r="AK113" s="60" t="s">
        <v>316</v>
      </c>
      <c r="AL113" s="60" t="s">
        <v>136</v>
      </c>
      <c r="AM113" s="60" t="s">
        <v>317</v>
      </c>
      <c r="AN113" s="60" t="s">
        <v>318</v>
      </c>
    </row>
    <row r="114" customFormat="false" ht="15" hidden="false" customHeight="false" outlineLevel="0" collapsed="false">
      <c r="A114" s="1" t="n">
        <v>13</v>
      </c>
      <c r="B114" s="1" t="s">
        <v>354</v>
      </c>
      <c r="C114" s="1" t="s">
        <v>348</v>
      </c>
      <c r="D114" s="1" t="n">
        <v>6</v>
      </c>
      <c r="E114" s="78" t="str">
        <f aca="false">IF(D114&gt;8,"2 de 30h","1 de 44h")</f>
        <v>1 de 44h</v>
      </c>
      <c r="F114" s="95"/>
      <c r="G114" s="1" t="n">
        <v>1</v>
      </c>
      <c r="H114" s="96"/>
      <c r="I114" s="96"/>
      <c r="J114" s="96" t="n">
        <v>1</v>
      </c>
      <c r="K114" s="78" t="n">
        <v>0</v>
      </c>
      <c r="L114" s="96" t="n">
        <f aca="false">K114/4</f>
        <v>0</v>
      </c>
      <c r="M114" s="96" t="n">
        <f aca="false">I114+L114</f>
        <v>0</v>
      </c>
      <c r="N114" s="96" t="n">
        <f aca="false">J114</f>
        <v>1</v>
      </c>
      <c r="O114" s="1" t="s">
        <v>129</v>
      </c>
      <c r="P114" s="1" t="s">
        <v>185</v>
      </c>
      <c r="Q114" s="1" t="s">
        <v>131</v>
      </c>
      <c r="R114" s="1" t="s">
        <v>337</v>
      </c>
      <c r="S114" s="1" t="n">
        <v>6136</v>
      </c>
      <c r="T114" s="97"/>
      <c r="U114" s="97"/>
      <c r="V114" s="98" t="n">
        <v>39685</v>
      </c>
      <c r="W114" s="98"/>
      <c r="X114" s="98" t="s">
        <v>281</v>
      </c>
      <c r="Y114" s="99"/>
      <c r="Z114" s="100"/>
      <c r="AA114" s="100"/>
      <c r="AB114" s="100"/>
      <c r="AC114" s="100" t="n">
        <v>2</v>
      </c>
      <c r="AD114" s="96"/>
      <c r="AE114" s="96" t="n">
        <f aca="false">M114</f>
        <v>0</v>
      </c>
      <c r="AF114" s="96" t="n">
        <f aca="false">N114</f>
        <v>1</v>
      </c>
      <c r="AG114" s="31" t="n">
        <v>0</v>
      </c>
      <c r="AH114" s="31" t="n">
        <v>0</v>
      </c>
      <c r="AI114" s="31" t="n">
        <v>0</v>
      </c>
      <c r="AJ114" s="31" t="n">
        <v>1</v>
      </c>
      <c r="AK114" s="60" t="s">
        <v>316</v>
      </c>
      <c r="AL114" s="60" t="s">
        <v>136</v>
      </c>
      <c r="AM114" s="60" t="s">
        <v>317</v>
      </c>
      <c r="AN114" s="60" t="s">
        <v>318</v>
      </c>
    </row>
    <row r="115" customFormat="false" ht="9" hidden="false" customHeight="true" outlineLevel="0" collapsed="false">
      <c r="A115" s="106"/>
      <c r="B115" s="106"/>
      <c r="C115" s="106"/>
      <c r="D115" s="106"/>
      <c r="E115" s="107"/>
      <c r="F115" s="107"/>
      <c r="G115" s="106"/>
      <c r="H115" s="108"/>
      <c r="I115" s="108"/>
      <c r="J115" s="108"/>
      <c r="K115" s="107"/>
      <c r="L115" s="108"/>
      <c r="M115" s="108"/>
      <c r="N115" s="108"/>
      <c r="O115" s="106"/>
      <c r="P115" s="106"/>
      <c r="Q115" s="106"/>
      <c r="R115" s="106"/>
      <c r="S115" s="106"/>
      <c r="T115" s="109"/>
      <c r="U115" s="109"/>
      <c r="V115" s="109"/>
      <c r="W115" s="109"/>
      <c r="X115" s="109"/>
      <c r="Y115" s="109"/>
      <c r="Z115" s="110"/>
      <c r="AA115" s="110"/>
      <c r="AB115" s="110"/>
      <c r="AC115" s="110"/>
      <c r="AD115" s="108"/>
      <c r="AE115" s="108"/>
      <c r="AF115" s="108"/>
      <c r="AG115" s="108"/>
      <c r="AH115" s="108"/>
      <c r="AI115" s="108"/>
      <c r="AJ115" s="108"/>
      <c r="AK115" s="108"/>
      <c r="AL115" s="108"/>
      <c r="AM115" s="108"/>
      <c r="AN115" s="108"/>
    </row>
    <row r="116" customFormat="false" ht="15" hidden="false" customHeight="false" outlineLevel="0" collapsed="false">
      <c r="A116" s="1" t="n">
        <v>1</v>
      </c>
      <c r="B116" s="1" t="s">
        <v>355</v>
      </c>
      <c r="C116" s="1" t="s">
        <v>140</v>
      </c>
      <c r="F116" s="95"/>
      <c r="H116" s="96" t="n">
        <v>1</v>
      </c>
      <c r="I116" s="96"/>
      <c r="J116" s="96"/>
      <c r="K116" s="78" t="n">
        <v>0</v>
      </c>
      <c r="L116" s="96" t="n">
        <f aca="false">K116/4</f>
        <v>0</v>
      </c>
      <c r="M116" s="96" t="n">
        <f aca="false">I116+L116</f>
        <v>0</v>
      </c>
      <c r="N116" s="96" t="n">
        <f aca="false">J116</f>
        <v>0</v>
      </c>
      <c r="S116" s="1" t="n">
        <v>96317</v>
      </c>
      <c r="T116" s="97"/>
      <c r="U116" s="112" t="s">
        <v>356</v>
      </c>
      <c r="V116" s="98" t="n">
        <v>435564</v>
      </c>
      <c r="W116" s="98" t="s">
        <v>181</v>
      </c>
      <c r="X116" s="98" t="s">
        <v>182</v>
      </c>
      <c r="Y116" s="99" t="s">
        <v>132</v>
      </c>
      <c r="Z116" s="100" t="n">
        <v>1</v>
      </c>
      <c r="AA116" s="100"/>
      <c r="AB116" s="100"/>
      <c r="AC116" s="100"/>
      <c r="AD116" s="96" t="n">
        <f aca="false">H116</f>
        <v>1</v>
      </c>
      <c r="AE116" s="96" t="n">
        <f aca="false">M116</f>
        <v>0</v>
      </c>
      <c r="AF116" s="96" t="n">
        <f aca="false">N116</f>
        <v>0</v>
      </c>
      <c r="AG116" s="31" t="n">
        <v>1</v>
      </c>
      <c r="AH116" s="31" t="n">
        <v>0</v>
      </c>
      <c r="AI116" s="31" t="n">
        <v>0</v>
      </c>
      <c r="AJ116" s="31" t="n">
        <v>0</v>
      </c>
      <c r="AK116" s="60" t="s">
        <v>357</v>
      </c>
      <c r="AL116" s="60" t="s">
        <v>136</v>
      </c>
      <c r="AM116" s="60" t="s">
        <v>317</v>
      </c>
      <c r="AN116" s="60" t="s">
        <v>358</v>
      </c>
    </row>
    <row r="117" customFormat="false" ht="15" hidden="false" customHeight="false" outlineLevel="0" collapsed="false">
      <c r="A117" s="1" t="n">
        <v>2</v>
      </c>
      <c r="B117" s="1" t="s">
        <v>359</v>
      </c>
      <c r="C117" s="1" t="s">
        <v>144</v>
      </c>
      <c r="D117" s="1" t="n">
        <v>6</v>
      </c>
      <c r="E117" s="78" t="s">
        <v>145</v>
      </c>
      <c r="F117" s="95"/>
      <c r="G117" s="1" t="n">
        <v>1</v>
      </c>
      <c r="H117" s="60"/>
      <c r="I117" s="60" t="n">
        <v>2</v>
      </c>
      <c r="J117" s="60" t="n">
        <v>0</v>
      </c>
      <c r="K117" s="78" t="n">
        <v>5</v>
      </c>
      <c r="L117" s="60" t="n">
        <f aca="false">ROUNDUP(K117/4,0)</f>
        <v>2</v>
      </c>
      <c r="M117" s="60" t="n">
        <f aca="false">I117+L117</f>
        <v>4</v>
      </c>
      <c r="N117" s="60" t="n">
        <f aca="false">J117</f>
        <v>0</v>
      </c>
      <c r="O117" s="1" t="s">
        <v>137</v>
      </c>
      <c r="P117" s="1" t="s">
        <v>314</v>
      </c>
      <c r="Q117" s="1" t="s">
        <v>186</v>
      </c>
      <c r="S117" s="1" t="n">
        <v>14413</v>
      </c>
      <c r="T117" s="97"/>
      <c r="U117" s="97"/>
      <c r="V117" s="98" t="n">
        <v>107278</v>
      </c>
      <c r="W117" s="98" t="s">
        <v>360</v>
      </c>
      <c r="X117" s="98" t="s">
        <v>226</v>
      </c>
      <c r="Y117" s="99" t="s">
        <v>132</v>
      </c>
      <c r="Z117" s="101"/>
      <c r="AA117" s="101"/>
      <c r="AB117" s="101" t="n">
        <v>4</v>
      </c>
      <c r="AC117" s="101"/>
      <c r="AD117" s="60"/>
      <c r="AE117" s="60" t="n">
        <f aca="false">M117</f>
        <v>4</v>
      </c>
      <c r="AF117" s="60" t="n">
        <f aca="false">N117</f>
        <v>0</v>
      </c>
      <c r="AG117" s="102" t="n">
        <v>0</v>
      </c>
      <c r="AH117" s="102" t="n">
        <v>0</v>
      </c>
      <c r="AI117" s="102" t="n">
        <v>4</v>
      </c>
      <c r="AJ117" s="102" t="n">
        <v>0</v>
      </c>
      <c r="AK117" s="60" t="s">
        <v>357</v>
      </c>
      <c r="AL117" s="60" t="s">
        <v>136</v>
      </c>
      <c r="AM117" s="60" t="s">
        <v>317</v>
      </c>
      <c r="AN117" s="60" t="s">
        <v>358</v>
      </c>
    </row>
    <row r="118" customFormat="false" ht="15" hidden="false" customHeight="false" outlineLevel="0" collapsed="false">
      <c r="A118" s="1" t="n">
        <v>3</v>
      </c>
      <c r="B118" s="1" t="s">
        <v>361</v>
      </c>
      <c r="C118" s="1" t="s">
        <v>144</v>
      </c>
      <c r="D118" s="1" t="n">
        <v>6</v>
      </c>
      <c r="E118" s="78" t="str">
        <f aca="false">IF(D118&gt;8,"2 de 30h","1 de 44h")</f>
        <v>1 de 44h</v>
      </c>
      <c r="F118" s="95"/>
      <c r="G118" s="1" t="n">
        <v>1</v>
      </c>
      <c r="H118" s="96"/>
      <c r="I118" s="96"/>
      <c r="J118" s="96" t="n">
        <v>1</v>
      </c>
      <c r="K118" s="78" t="n">
        <v>2</v>
      </c>
      <c r="L118" s="96" t="n">
        <f aca="false">ROUNDUP(K118/4,0)</f>
        <v>1</v>
      </c>
      <c r="M118" s="96" t="n">
        <f aca="false">I118+L118</f>
        <v>1</v>
      </c>
      <c r="N118" s="96" t="n">
        <f aca="false">J118</f>
        <v>1</v>
      </c>
      <c r="O118" s="1" t="s">
        <v>179</v>
      </c>
      <c r="P118" s="1" t="s">
        <v>314</v>
      </c>
      <c r="Q118" s="1" t="s">
        <v>186</v>
      </c>
      <c r="S118" s="1" t="n">
        <v>8983</v>
      </c>
      <c r="T118" s="97"/>
      <c r="U118" s="97"/>
      <c r="V118" s="98" t="n">
        <v>39229</v>
      </c>
      <c r="W118" s="98"/>
      <c r="X118" s="98" t="s">
        <v>231</v>
      </c>
      <c r="Y118" s="99"/>
      <c r="Z118" s="100"/>
      <c r="AA118" s="100"/>
      <c r="AB118" s="100" t="n">
        <v>3</v>
      </c>
      <c r="AC118" s="100"/>
      <c r="AD118" s="96"/>
      <c r="AE118" s="96" t="n">
        <f aca="false">M118</f>
        <v>1</v>
      </c>
      <c r="AF118" s="96" t="n">
        <f aca="false">N118</f>
        <v>1</v>
      </c>
      <c r="AG118" s="31" t="n">
        <v>0</v>
      </c>
      <c r="AH118" s="31" t="n">
        <v>0</v>
      </c>
      <c r="AI118" s="31" t="n">
        <v>3</v>
      </c>
      <c r="AJ118" s="31" t="n">
        <v>0</v>
      </c>
      <c r="AK118" s="60" t="s">
        <v>357</v>
      </c>
      <c r="AL118" s="60" t="s">
        <v>136</v>
      </c>
      <c r="AM118" s="60" t="s">
        <v>317</v>
      </c>
      <c r="AN118" s="60" t="s">
        <v>358</v>
      </c>
    </row>
    <row r="119" customFormat="false" ht="15" hidden="false" customHeight="false" outlineLevel="0" collapsed="false">
      <c r="A119" s="1" t="n">
        <v>4</v>
      </c>
      <c r="B119" s="1" t="s">
        <v>362</v>
      </c>
      <c r="C119" s="1" t="s">
        <v>144</v>
      </c>
      <c r="D119" s="1" t="n">
        <v>6</v>
      </c>
      <c r="E119" s="78" t="str">
        <f aca="false">IF(D119&gt;8,"2 de 30h","1 de 44h")</f>
        <v>1 de 44h</v>
      </c>
      <c r="F119" s="95"/>
      <c r="G119" s="1" t="n">
        <v>2</v>
      </c>
      <c r="H119" s="60"/>
      <c r="I119" s="60"/>
      <c r="J119" s="60" t="n">
        <v>2</v>
      </c>
      <c r="K119" s="78" t="n">
        <v>12</v>
      </c>
      <c r="L119" s="60" t="n">
        <f aca="false">K119/4</f>
        <v>3</v>
      </c>
      <c r="M119" s="60" t="n">
        <f aca="false">I119+L119</f>
        <v>3</v>
      </c>
      <c r="N119" s="60" t="n">
        <f aca="false">J119</f>
        <v>2</v>
      </c>
      <c r="O119" s="1" t="s">
        <v>179</v>
      </c>
      <c r="P119" s="1" t="s">
        <v>314</v>
      </c>
      <c r="Q119" s="1" t="s">
        <v>179</v>
      </c>
      <c r="R119" s="1" t="s">
        <v>186</v>
      </c>
      <c r="S119" s="1" t="n">
        <v>42431</v>
      </c>
      <c r="T119" s="97"/>
      <c r="U119" s="97"/>
      <c r="V119" s="98"/>
      <c r="W119" s="98"/>
      <c r="X119" s="98"/>
      <c r="Y119" s="99"/>
      <c r="Z119" s="101"/>
      <c r="AA119" s="101" t="n">
        <v>1</v>
      </c>
      <c r="AB119" s="101" t="n">
        <v>9</v>
      </c>
      <c r="AC119" s="101"/>
      <c r="AD119" s="60"/>
      <c r="AE119" s="60" t="n">
        <f aca="false">M119</f>
        <v>3</v>
      </c>
      <c r="AF119" s="60" t="n">
        <f aca="false">N119</f>
        <v>2</v>
      </c>
      <c r="AG119" s="102" t="n">
        <v>0</v>
      </c>
      <c r="AH119" s="102" t="n">
        <v>1</v>
      </c>
      <c r="AI119" s="102" t="n">
        <v>4</v>
      </c>
      <c r="AJ119" s="102" t="n">
        <v>1</v>
      </c>
      <c r="AK119" s="60" t="s">
        <v>357</v>
      </c>
      <c r="AL119" s="60" t="s">
        <v>136</v>
      </c>
      <c r="AM119" s="60" t="s">
        <v>317</v>
      </c>
      <c r="AN119" s="60" t="s">
        <v>358</v>
      </c>
    </row>
    <row r="120" customFormat="false" ht="15" hidden="false" customHeight="false" outlineLevel="0" collapsed="false">
      <c r="A120" s="1" t="n">
        <v>5</v>
      </c>
      <c r="B120" s="1" t="s">
        <v>363</v>
      </c>
      <c r="C120" s="1" t="s">
        <v>144</v>
      </c>
      <c r="D120" s="1" t="n">
        <v>6</v>
      </c>
      <c r="E120" s="78" t="str">
        <f aca="false">IF(D120&gt;8,"2 de 30h","1 de 44h")</f>
        <v>1 de 44h</v>
      </c>
      <c r="F120" s="95"/>
      <c r="G120" s="1" t="n">
        <v>1</v>
      </c>
      <c r="H120" s="96"/>
      <c r="I120" s="96"/>
      <c r="J120" s="96" t="n">
        <v>1</v>
      </c>
      <c r="K120" s="78" t="n">
        <v>3</v>
      </c>
      <c r="L120" s="96" t="n">
        <f aca="false">ROUNDUP(K120/4,0)</f>
        <v>1</v>
      </c>
      <c r="M120" s="96" t="n">
        <f aca="false">I120+L120</f>
        <v>1</v>
      </c>
      <c r="N120" s="96" t="n">
        <f aca="false">J120</f>
        <v>1</v>
      </c>
      <c r="O120" s="1" t="s">
        <v>179</v>
      </c>
      <c r="P120" s="1" t="s">
        <v>314</v>
      </c>
      <c r="Q120" s="1" t="s">
        <v>186</v>
      </c>
      <c r="S120" s="1" t="n">
        <v>5664</v>
      </c>
      <c r="T120" s="97"/>
      <c r="U120" s="97"/>
      <c r="V120" s="98" t="n">
        <v>63635</v>
      </c>
      <c r="W120" s="98"/>
      <c r="X120" s="98" t="s">
        <v>364</v>
      </c>
      <c r="Y120" s="99"/>
      <c r="Z120" s="100"/>
      <c r="AA120" s="100"/>
      <c r="AB120" s="100" t="n">
        <v>3</v>
      </c>
      <c r="AC120" s="100"/>
      <c r="AD120" s="96"/>
      <c r="AE120" s="96" t="n">
        <f aca="false">M120</f>
        <v>1</v>
      </c>
      <c r="AF120" s="96" t="n">
        <f aca="false">N120</f>
        <v>1</v>
      </c>
      <c r="AG120" s="31" t="n">
        <v>0</v>
      </c>
      <c r="AH120" s="31" t="n">
        <v>1</v>
      </c>
      <c r="AI120" s="31" t="n">
        <v>3</v>
      </c>
      <c r="AJ120" s="31" t="n">
        <v>0</v>
      </c>
      <c r="AK120" s="60" t="s">
        <v>357</v>
      </c>
      <c r="AL120" s="60" t="s">
        <v>136</v>
      </c>
      <c r="AM120" s="60" t="s">
        <v>317</v>
      </c>
      <c r="AN120" s="60" t="s">
        <v>358</v>
      </c>
    </row>
    <row r="121" customFormat="false" ht="15" hidden="false" customHeight="false" outlineLevel="0" collapsed="false">
      <c r="A121" s="1" t="n">
        <v>6</v>
      </c>
      <c r="B121" s="1" t="s">
        <v>365</v>
      </c>
      <c r="C121" s="1" t="s">
        <v>366</v>
      </c>
      <c r="D121" s="1" t="n">
        <v>6</v>
      </c>
      <c r="E121" s="78" t="str">
        <f aca="false">IF(D121&gt;8,"2 de 30h","1 de 44h")</f>
        <v>1 de 44h</v>
      </c>
      <c r="F121" s="95"/>
      <c r="G121" s="1" t="n">
        <v>1</v>
      </c>
      <c r="H121" s="60"/>
      <c r="I121" s="60"/>
      <c r="J121" s="60" t="n">
        <v>1</v>
      </c>
      <c r="K121" s="78" t="n">
        <v>2</v>
      </c>
      <c r="L121" s="60" t="n">
        <f aca="false">ROUNDUP(K121/4,0)</f>
        <v>1</v>
      </c>
      <c r="M121" s="60" t="n">
        <f aca="false">I121+L121</f>
        <v>1</v>
      </c>
      <c r="N121" s="60" t="n">
        <f aca="false">J121</f>
        <v>1</v>
      </c>
      <c r="O121" s="1" t="s">
        <v>179</v>
      </c>
      <c r="P121" s="1" t="s">
        <v>314</v>
      </c>
      <c r="Q121" s="1" t="s">
        <v>186</v>
      </c>
      <c r="S121" s="1" t="n">
        <v>4716</v>
      </c>
      <c r="T121" s="97"/>
      <c r="U121" s="97"/>
      <c r="V121" s="98" t="n">
        <v>30689</v>
      </c>
      <c r="W121" s="98"/>
      <c r="X121" s="98" t="s">
        <v>367</v>
      </c>
      <c r="Y121" s="99"/>
      <c r="Z121" s="101"/>
      <c r="AA121" s="101"/>
      <c r="AB121" s="101" t="n">
        <v>3</v>
      </c>
      <c r="AC121" s="101"/>
      <c r="AD121" s="60"/>
      <c r="AE121" s="60" t="n">
        <f aca="false">M121</f>
        <v>1</v>
      </c>
      <c r="AF121" s="60" t="n">
        <f aca="false">N121</f>
        <v>1</v>
      </c>
      <c r="AG121" s="102" t="n">
        <v>0</v>
      </c>
      <c r="AH121" s="102" t="n">
        <v>0</v>
      </c>
      <c r="AI121" s="102" t="n">
        <v>3</v>
      </c>
      <c r="AJ121" s="102" t="n">
        <v>0</v>
      </c>
      <c r="AK121" s="60" t="s">
        <v>357</v>
      </c>
      <c r="AL121" s="60" t="s">
        <v>136</v>
      </c>
      <c r="AM121" s="60" t="s">
        <v>317</v>
      </c>
      <c r="AN121" s="60" t="s">
        <v>358</v>
      </c>
    </row>
    <row r="122" customFormat="false" ht="15" hidden="false" customHeight="false" outlineLevel="0" collapsed="false">
      <c r="A122" s="1" t="n">
        <v>7</v>
      </c>
      <c r="B122" s="1" t="s">
        <v>368</v>
      </c>
      <c r="C122" s="1" t="s">
        <v>366</v>
      </c>
      <c r="D122" s="1" t="n">
        <v>6</v>
      </c>
      <c r="E122" s="78" t="str">
        <f aca="false">IF(D122&gt;8,"2 de 30h","1 de 44h")</f>
        <v>1 de 44h</v>
      </c>
      <c r="F122" s="95"/>
      <c r="G122" s="1" t="n">
        <v>1</v>
      </c>
      <c r="H122" s="96"/>
      <c r="I122" s="96"/>
      <c r="J122" s="96" t="n">
        <v>1</v>
      </c>
      <c r="K122" s="78" t="n">
        <v>2</v>
      </c>
      <c r="L122" s="96" t="n">
        <f aca="false">ROUNDUP(K122/4,0)</f>
        <v>1</v>
      </c>
      <c r="M122" s="96" t="n">
        <f aca="false">I122+L122</f>
        <v>1</v>
      </c>
      <c r="N122" s="96" t="n">
        <f aca="false">J122</f>
        <v>1</v>
      </c>
      <c r="O122" s="1" t="s">
        <v>179</v>
      </c>
      <c r="P122" s="1" t="s">
        <v>314</v>
      </c>
      <c r="Q122" s="1" t="s">
        <v>186</v>
      </c>
      <c r="S122" s="1" t="n">
        <v>8452</v>
      </c>
      <c r="T122" s="97"/>
      <c r="U122" s="97"/>
      <c r="V122" s="98" t="n">
        <v>61342</v>
      </c>
      <c r="W122" s="98"/>
      <c r="X122" s="98" t="s">
        <v>244</v>
      </c>
      <c r="Y122" s="99"/>
      <c r="Z122" s="100"/>
      <c r="AA122" s="100"/>
      <c r="AB122" s="100" t="n">
        <v>3</v>
      </c>
      <c r="AC122" s="100"/>
      <c r="AD122" s="96"/>
      <c r="AE122" s="96" t="n">
        <f aca="false">M122</f>
        <v>1</v>
      </c>
      <c r="AF122" s="96" t="n">
        <f aca="false">N122</f>
        <v>1</v>
      </c>
      <c r="AG122" s="31" t="n">
        <v>0</v>
      </c>
      <c r="AH122" s="31" t="n">
        <v>0</v>
      </c>
      <c r="AI122" s="31" t="n">
        <v>3</v>
      </c>
      <c r="AJ122" s="31" t="n">
        <v>0</v>
      </c>
      <c r="AK122" s="60" t="s">
        <v>357</v>
      </c>
      <c r="AL122" s="60" t="s">
        <v>136</v>
      </c>
      <c r="AM122" s="60" t="s">
        <v>317</v>
      </c>
      <c r="AN122" s="60" t="s">
        <v>358</v>
      </c>
    </row>
    <row r="123" customFormat="false" ht="15" hidden="false" customHeight="false" outlineLevel="0" collapsed="false">
      <c r="A123" s="1" t="n">
        <v>8</v>
      </c>
      <c r="B123" s="1" t="s">
        <v>369</v>
      </c>
      <c r="C123" s="1" t="s">
        <v>366</v>
      </c>
      <c r="D123" s="1" t="n">
        <v>6</v>
      </c>
      <c r="E123" s="78" t="str">
        <f aca="false">IF(D123&gt;8,"2 de 30h","1 de 44h")</f>
        <v>1 de 44h</v>
      </c>
      <c r="F123" s="95"/>
      <c r="G123" s="1" t="n">
        <v>1</v>
      </c>
      <c r="H123" s="60"/>
      <c r="I123" s="60"/>
      <c r="J123" s="60" t="n">
        <v>1</v>
      </c>
      <c r="K123" s="78" t="n">
        <v>1</v>
      </c>
      <c r="L123" s="60" t="n">
        <f aca="false">ROUNDUP(K123/4,0)</f>
        <v>1</v>
      </c>
      <c r="M123" s="60" t="n">
        <f aca="false">I123+L123</f>
        <v>1</v>
      </c>
      <c r="N123" s="60" t="n">
        <f aca="false">J123</f>
        <v>1</v>
      </c>
      <c r="O123" s="1" t="s">
        <v>179</v>
      </c>
      <c r="P123" s="1" t="s">
        <v>314</v>
      </c>
      <c r="Q123" s="1" t="s">
        <v>186</v>
      </c>
      <c r="S123" s="1" t="n">
        <v>3056</v>
      </c>
      <c r="T123" s="97"/>
      <c r="U123" s="97"/>
      <c r="V123" s="98" t="n">
        <v>22810</v>
      </c>
      <c r="W123" s="98"/>
      <c r="X123" s="98" t="s">
        <v>370</v>
      </c>
      <c r="Y123" s="99"/>
      <c r="Z123" s="101"/>
      <c r="AA123" s="101"/>
      <c r="AB123" s="101" t="n">
        <v>2</v>
      </c>
      <c r="AC123" s="101"/>
      <c r="AD123" s="60"/>
      <c r="AE123" s="60" t="n">
        <f aca="false">M123</f>
        <v>1</v>
      </c>
      <c r="AF123" s="60" t="n">
        <f aca="false">N123</f>
        <v>1</v>
      </c>
      <c r="AG123" s="102" t="n">
        <v>0</v>
      </c>
      <c r="AH123" s="102" t="n">
        <v>0</v>
      </c>
      <c r="AI123" s="102" t="n">
        <v>2</v>
      </c>
      <c r="AJ123" s="102" t="n">
        <v>0</v>
      </c>
      <c r="AK123" s="60" t="s">
        <v>316</v>
      </c>
      <c r="AL123" s="60" t="s">
        <v>136</v>
      </c>
      <c r="AM123" s="60" t="s">
        <v>317</v>
      </c>
      <c r="AN123" s="60" t="s">
        <v>318</v>
      </c>
    </row>
    <row r="124" customFormat="false" ht="15" hidden="false" customHeight="false" outlineLevel="0" collapsed="false">
      <c r="A124" s="1" t="n">
        <v>9</v>
      </c>
      <c r="B124" s="1" t="s">
        <v>371</v>
      </c>
      <c r="C124" s="1" t="s">
        <v>366</v>
      </c>
      <c r="D124" s="1" t="n">
        <v>6</v>
      </c>
      <c r="E124" s="78" t="str">
        <f aca="false">IF(D124&gt;8,"2 de 30h","1 de 44h")</f>
        <v>1 de 44h</v>
      </c>
      <c r="F124" s="95"/>
      <c r="G124" s="1" t="n">
        <v>1</v>
      </c>
      <c r="H124" s="96"/>
      <c r="I124" s="96"/>
      <c r="J124" s="96" t="n">
        <v>1</v>
      </c>
      <c r="K124" s="78" t="n">
        <v>1</v>
      </c>
      <c r="L124" s="96" t="n">
        <f aca="false">ROUNDUP(K124/4,0)</f>
        <v>1</v>
      </c>
      <c r="M124" s="96" t="n">
        <f aca="false">I124+L124</f>
        <v>1</v>
      </c>
      <c r="N124" s="96" t="n">
        <f aca="false">J124</f>
        <v>1</v>
      </c>
      <c r="O124" s="1" t="s">
        <v>186</v>
      </c>
      <c r="S124" s="1" t="n">
        <v>3397</v>
      </c>
      <c r="T124" s="97"/>
      <c r="U124" s="97"/>
      <c r="V124" s="98" t="n">
        <v>22830</v>
      </c>
      <c r="W124" s="98"/>
      <c r="X124" s="98" t="s">
        <v>372</v>
      </c>
      <c r="Y124" s="99"/>
      <c r="Z124" s="100"/>
      <c r="AA124" s="100"/>
      <c r="AB124" s="100" t="n">
        <v>3</v>
      </c>
      <c r="AC124" s="100"/>
      <c r="AD124" s="96"/>
      <c r="AE124" s="96" t="n">
        <f aca="false">M124</f>
        <v>1</v>
      </c>
      <c r="AF124" s="96" t="n">
        <f aca="false">N124</f>
        <v>1</v>
      </c>
      <c r="AG124" s="31" t="n">
        <v>0</v>
      </c>
      <c r="AH124" s="31" t="n">
        <v>0</v>
      </c>
      <c r="AI124" s="31" t="n">
        <v>3</v>
      </c>
      <c r="AJ124" s="31" t="n">
        <v>0</v>
      </c>
      <c r="AK124" s="60" t="s">
        <v>316</v>
      </c>
      <c r="AL124" s="60" t="s">
        <v>136</v>
      </c>
      <c r="AM124" s="60" t="s">
        <v>317</v>
      </c>
      <c r="AN124" s="60" t="s">
        <v>318</v>
      </c>
    </row>
    <row r="125" customFormat="false" ht="15" hidden="false" customHeight="false" outlineLevel="0" collapsed="false">
      <c r="A125" s="1" t="n">
        <v>10</v>
      </c>
      <c r="B125" s="1" t="s">
        <v>373</v>
      </c>
      <c r="C125" s="1" t="s">
        <v>366</v>
      </c>
      <c r="D125" s="1" t="n">
        <v>6</v>
      </c>
      <c r="E125" s="78" t="str">
        <f aca="false">IF(D125&gt;8,"2 de 30h","1 de 44h")</f>
        <v>1 de 44h</v>
      </c>
      <c r="F125" s="95"/>
      <c r="G125" s="1" t="n">
        <v>1</v>
      </c>
      <c r="H125" s="60"/>
      <c r="I125" s="60"/>
      <c r="J125" s="60" t="n">
        <v>1</v>
      </c>
      <c r="K125" s="78" t="n">
        <v>1</v>
      </c>
      <c r="L125" s="60" t="n">
        <f aca="false">ROUNDUP(K125/4,0)</f>
        <v>1</v>
      </c>
      <c r="M125" s="60" t="n">
        <f aca="false">I125+L125</f>
        <v>1</v>
      </c>
      <c r="N125" s="60" t="n">
        <f aca="false">J125</f>
        <v>1</v>
      </c>
      <c r="O125" s="1" t="s">
        <v>179</v>
      </c>
      <c r="P125" s="1" t="s">
        <v>314</v>
      </c>
      <c r="Q125" s="1" t="s">
        <v>186</v>
      </c>
      <c r="S125" s="1" t="n">
        <v>2247</v>
      </c>
      <c r="T125" s="97"/>
      <c r="U125" s="97"/>
      <c r="V125" s="98" t="n">
        <v>25192</v>
      </c>
      <c r="W125" s="98"/>
      <c r="X125" s="98" t="s">
        <v>374</v>
      </c>
      <c r="Y125" s="99"/>
      <c r="Z125" s="101"/>
      <c r="AA125" s="101"/>
      <c r="AB125" s="101" t="n">
        <v>2</v>
      </c>
      <c r="AC125" s="101"/>
      <c r="AD125" s="60"/>
      <c r="AE125" s="60" t="n">
        <f aca="false">M125</f>
        <v>1</v>
      </c>
      <c r="AF125" s="60" t="n">
        <f aca="false">N125</f>
        <v>1</v>
      </c>
      <c r="AG125" s="102" t="n">
        <v>0</v>
      </c>
      <c r="AH125" s="102" t="n">
        <v>0</v>
      </c>
      <c r="AI125" s="102" t="n">
        <v>2</v>
      </c>
      <c r="AJ125" s="102" t="n">
        <v>0</v>
      </c>
      <c r="AK125" s="60" t="s">
        <v>357</v>
      </c>
      <c r="AL125" s="60" t="s">
        <v>136</v>
      </c>
      <c r="AM125" s="60" t="s">
        <v>317</v>
      </c>
      <c r="AN125" s="60" t="s">
        <v>358</v>
      </c>
    </row>
    <row r="126" customFormat="false" ht="15" hidden="false" customHeight="false" outlineLevel="0" collapsed="false">
      <c r="A126" s="1" t="n">
        <v>11</v>
      </c>
      <c r="B126" s="1" t="s">
        <v>375</v>
      </c>
      <c r="C126" s="1" t="s">
        <v>366</v>
      </c>
      <c r="D126" s="1" t="n">
        <v>6</v>
      </c>
      <c r="E126" s="78" t="str">
        <f aca="false">IF(D126&gt;8,"2 de 30h","1 de 44h")</f>
        <v>1 de 44h</v>
      </c>
      <c r="F126" s="95"/>
      <c r="G126" s="1" t="n">
        <v>1</v>
      </c>
      <c r="H126" s="96"/>
      <c r="I126" s="96"/>
      <c r="J126" s="96" t="n">
        <v>1</v>
      </c>
      <c r="K126" s="78" t="n">
        <v>1</v>
      </c>
      <c r="L126" s="96" t="n">
        <f aca="false">ROUNDUP(K126/4,0)</f>
        <v>1</v>
      </c>
      <c r="M126" s="96" t="n">
        <f aca="false">I126+L126</f>
        <v>1</v>
      </c>
      <c r="N126" s="96" t="n">
        <f aca="false">J126</f>
        <v>1</v>
      </c>
      <c r="O126" s="1" t="s">
        <v>179</v>
      </c>
      <c r="P126" s="1" t="s">
        <v>314</v>
      </c>
      <c r="Q126" s="1" t="s">
        <v>186</v>
      </c>
      <c r="S126" s="1" t="n">
        <v>2958</v>
      </c>
      <c r="T126" s="97"/>
      <c r="U126" s="97"/>
      <c r="V126" s="98"/>
      <c r="W126" s="98"/>
      <c r="X126" s="98" t="s">
        <v>341</v>
      </c>
      <c r="Y126" s="99"/>
      <c r="Z126" s="100"/>
      <c r="AA126" s="100"/>
      <c r="AB126" s="100" t="n">
        <v>2</v>
      </c>
      <c r="AC126" s="100"/>
      <c r="AD126" s="96"/>
      <c r="AE126" s="96" t="n">
        <f aca="false">M126</f>
        <v>1</v>
      </c>
      <c r="AF126" s="96" t="n">
        <f aca="false">N126</f>
        <v>1</v>
      </c>
      <c r="AG126" s="31" t="n">
        <v>0</v>
      </c>
      <c r="AH126" s="31" t="n">
        <v>0</v>
      </c>
      <c r="AI126" s="31" t="n">
        <v>2</v>
      </c>
      <c r="AJ126" s="31" t="n">
        <v>0</v>
      </c>
      <c r="AK126" s="60" t="s">
        <v>357</v>
      </c>
      <c r="AL126" s="60" t="s">
        <v>136</v>
      </c>
      <c r="AM126" s="60" t="s">
        <v>317</v>
      </c>
      <c r="AN126" s="60" t="s">
        <v>358</v>
      </c>
    </row>
    <row r="127" customFormat="false" ht="15" hidden="false" customHeight="false" outlineLevel="0" collapsed="false">
      <c r="A127" s="1" t="n">
        <v>12</v>
      </c>
      <c r="B127" s="1" t="s">
        <v>376</v>
      </c>
      <c r="C127" s="1" t="s">
        <v>128</v>
      </c>
      <c r="F127" s="95"/>
      <c r="G127" s="1" t="n">
        <v>1</v>
      </c>
      <c r="H127" s="60"/>
      <c r="I127" s="60"/>
      <c r="J127" s="60"/>
      <c r="K127" s="78" t="n">
        <v>0</v>
      </c>
      <c r="L127" s="60" t="n">
        <f aca="false">K127/4</f>
        <v>0</v>
      </c>
      <c r="M127" s="60" t="n">
        <f aca="false">I127+L127</f>
        <v>0</v>
      </c>
      <c r="N127" s="60" t="n">
        <f aca="false">J127</f>
        <v>0</v>
      </c>
      <c r="O127" s="1" t="s">
        <v>186</v>
      </c>
      <c r="T127" s="97"/>
      <c r="U127" s="97"/>
      <c r="V127" s="98"/>
      <c r="W127" s="98"/>
      <c r="X127" s="98"/>
      <c r="Y127" s="99"/>
      <c r="Z127" s="101" t="n">
        <v>1</v>
      </c>
      <c r="AA127" s="101" t="n">
        <v>1</v>
      </c>
      <c r="AB127" s="101"/>
      <c r="AC127" s="101"/>
      <c r="AD127" s="60"/>
      <c r="AE127" s="60" t="n">
        <f aca="false">M127</f>
        <v>0</v>
      </c>
      <c r="AF127" s="60" t="n">
        <f aca="false">N127</f>
        <v>0</v>
      </c>
      <c r="AG127" s="102" t="n">
        <v>0</v>
      </c>
      <c r="AH127" s="102" t="n">
        <v>1</v>
      </c>
      <c r="AI127" s="102" t="n">
        <v>0</v>
      </c>
      <c r="AJ127" s="102" t="n">
        <v>0</v>
      </c>
      <c r="AK127" s="60" t="s">
        <v>357</v>
      </c>
      <c r="AL127" s="60" t="s">
        <v>136</v>
      </c>
      <c r="AM127" s="60" t="s">
        <v>317</v>
      </c>
      <c r="AN127" s="60" t="s">
        <v>358</v>
      </c>
    </row>
    <row r="128" customFormat="false" ht="9" hidden="false" customHeight="true" outlineLevel="0" collapsed="false">
      <c r="A128" s="106"/>
      <c r="B128" s="106"/>
      <c r="C128" s="106"/>
      <c r="D128" s="106"/>
      <c r="E128" s="107"/>
      <c r="F128" s="111"/>
      <c r="G128" s="106"/>
      <c r="H128" s="108"/>
      <c r="I128" s="108"/>
      <c r="J128" s="108"/>
      <c r="K128" s="107"/>
      <c r="L128" s="108"/>
      <c r="M128" s="108"/>
      <c r="N128" s="108"/>
      <c r="O128" s="106"/>
      <c r="P128" s="106"/>
      <c r="Q128" s="106"/>
      <c r="R128" s="106"/>
      <c r="S128" s="106"/>
      <c r="T128" s="109"/>
      <c r="U128" s="109"/>
      <c r="V128" s="109"/>
      <c r="W128" s="109"/>
      <c r="X128" s="109"/>
      <c r="Y128" s="109"/>
      <c r="Z128" s="110"/>
      <c r="AA128" s="110"/>
      <c r="AB128" s="110"/>
      <c r="AC128" s="110"/>
      <c r="AD128" s="108"/>
      <c r="AE128" s="108"/>
      <c r="AF128" s="108"/>
      <c r="AG128" s="108"/>
      <c r="AH128" s="108"/>
      <c r="AI128" s="108"/>
      <c r="AJ128" s="108"/>
      <c r="AK128" s="108"/>
      <c r="AL128" s="108"/>
      <c r="AM128" s="108"/>
      <c r="AN128" s="108"/>
    </row>
    <row r="129" customFormat="false" ht="15" hidden="false" customHeight="false" outlineLevel="0" collapsed="false">
      <c r="A129" s="1" t="n">
        <v>1</v>
      </c>
      <c r="B129" s="1" t="s">
        <v>35</v>
      </c>
      <c r="C129" s="1" t="s">
        <v>128</v>
      </c>
      <c r="F129" s="95"/>
      <c r="G129" s="1" t="n">
        <v>1</v>
      </c>
      <c r="H129" s="60" t="n">
        <v>1</v>
      </c>
      <c r="I129" s="60"/>
      <c r="J129" s="60"/>
      <c r="L129" s="60" t="n">
        <f aca="false">K129/4</f>
        <v>0</v>
      </c>
      <c r="M129" s="60" t="n">
        <f aca="false">I129+L129</f>
        <v>0</v>
      </c>
      <c r="N129" s="60" t="n">
        <f aca="false">J129</f>
        <v>0</v>
      </c>
      <c r="O129" s="1" t="s">
        <v>129</v>
      </c>
      <c r="P129" s="1" t="s">
        <v>130</v>
      </c>
      <c r="Q129" s="1" t="s">
        <v>129</v>
      </c>
      <c r="R129" s="1" t="s">
        <v>129</v>
      </c>
      <c r="S129" s="1" t="n">
        <v>140714</v>
      </c>
      <c r="T129" s="97" t="s">
        <v>132</v>
      </c>
      <c r="U129" s="97"/>
      <c r="V129" s="98" t="n">
        <v>78915</v>
      </c>
      <c r="W129" s="98"/>
      <c r="X129" s="98" t="s">
        <v>377</v>
      </c>
      <c r="Y129" s="99" t="s">
        <v>132</v>
      </c>
      <c r="Z129" s="101"/>
      <c r="AA129" s="101"/>
      <c r="AB129" s="101" t="n">
        <v>2</v>
      </c>
      <c r="AC129" s="101"/>
      <c r="AD129" s="60" t="n">
        <f aca="false">H129</f>
        <v>1</v>
      </c>
      <c r="AE129" s="60" t="n">
        <f aca="false">M129</f>
        <v>0</v>
      </c>
      <c r="AF129" s="60" t="n">
        <f aca="false">N129</f>
        <v>0</v>
      </c>
      <c r="AG129" s="102" t="n">
        <v>1</v>
      </c>
      <c r="AH129" s="102" t="n">
        <v>0</v>
      </c>
      <c r="AI129" s="102" t="n">
        <v>0</v>
      </c>
      <c r="AJ129" s="102" t="n">
        <v>0</v>
      </c>
      <c r="AK129" s="60" t="s">
        <v>316</v>
      </c>
      <c r="AL129" s="60" t="s">
        <v>136</v>
      </c>
      <c r="AM129" s="60" t="s">
        <v>317</v>
      </c>
      <c r="AN129" s="60" t="s">
        <v>318</v>
      </c>
    </row>
    <row r="130" customFormat="false" ht="15" hidden="false" customHeight="false" outlineLevel="0" collapsed="false">
      <c r="A130" s="1" t="n">
        <v>2</v>
      </c>
      <c r="B130" s="1" t="s">
        <v>36</v>
      </c>
      <c r="C130" s="1" t="s">
        <v>378</v>
      </c>
      <c r="D130" s="1" t="n">
        <v>10</v>
      </c>
      <c r="E130" s="78" t="str">
        <f aca="false">IF(D130&gt;8,"2 de 30h","1 de 44h")</f>
        <v>2 de 30h</v>
      </c>
      <c r="F130" s="95" t="s">
        <v>379</v>
      </c>
      <c r="G130" s="1" t="n">
        <v>1</v>
      </c>
      <c r="H130" s="96"/>
      <c r="I130" s="96" t="n">
        <v>2</v>
      </c>
      <c r="J130" s="96"/>
      <c r="K130" s="78" t="n">
        <v>1</v>
      </c>
      <c r="L130" s="96" t="n">
        <f aca="false">ROUNDUP(K130/4,0)</f>
        <v>1</v>
      </c>
      <c r="M130" s="96" t="n">
        <f aca="false">I130+L130</f>
        <v>3</v>
      </c>
      <c r="N130" s="96" t="n">
        <f aca="false">J130</f>
        <v>0</v>
      </c>
      <c r="O130" s="1" t="s">
        <v>129</v>
      </c>
      <c r="P130" s="1" t="s">
        <v>185</v>
      </c>
      <c r="Q130" s="1" t="s">
        <v>131</v>
      </c>
      <c r="S130" s="1" t="n">
        <v>4374</v>
      </c>
      <c r="T130" s="97"/>
      <c r="U130" s="97"/>
      <c r="V130" s="98" t="n">
        <v>13289</v>
      </c>
      <c r="W130" s="98"/>
      <c r="X130" s="98" t="s">
        <v>380</v>
      </c>
      <c r="Y130" s="99"/>
      <c r="Z130" s="100"/>
      <c r="AA130" s="100"/>
      <c r="AB130" s="100" t="n">
        <v>2</v>
      </c>
      <c r="AC130" s="100"/>
      <c r="AD130" s="96"/>
      <c r="AE130" s="96" t="n">
        <f aca="false">M130</f>
        <v>3</v>
      </c>
      <c r="AF130" s="96" t="n">
        <f aca="false">N130</f>
        <v>0</v>
      </c>
      <c r="AG130" s="31" t="n">
        <v>0</v>
      </c>
      <c r="AH130" s="31" t="n">
        <v>0</v>
      </c>
      <c r="AI130" s="31" t="n">
        <v>3</v>
      </c>
      <c r="AJ130" s="31" t="n">
        <v>0</v>
      </c>
      <c r="AK130" s="60" t="s">
        <v>316</v>
      </c>
      <c r="AL130" s="60" t="s">
        <v>136</v>
      </c>
      <c r="AM130" s="60" t="s">
        <v>317</v>
      </c>
      <c r="AN130" s="60" t="s">
        <v>318</v>
      </c>
    </row>
    <row r="131" customFormat="false" ht="15" hidden="false" customHeight="false" outlineLevel="0" collapsed="false">
      <c r="A131" s="1" t="n">
        <v>3</v>
      </c>
      <c r="B131" s="1" t="s">
        <v>37</v>
      </c>
      <c r="C131" s="1" t="s">
        <v>381</v>
      </c>
      <c r="D131" s="1" t="n">
        <v>6</v>
      </c>
      <c r="E131" s="78" t="str">
        <f aca="false">IF(D131&gt;8,"2 de 30h","1 de 44h")</f>
        <v>1 de 44h</v>
      </c>
      <c r="F131" s="95" t="s">
        <v>381</v>
      </c>
      <c r="G131" s="1" t="n">
        <v>1</v>
      </c>
      <c r="H131" s="60"/>
      <c r="I131" s="60"/>
      <c r="J131" s="60" t="n">
        <v>1</v>
      </c>
      <c r="K131" s="78" t="n">
        <v>2</v>
      </c>
      <c r="L131" s="60" t="n">
        <f aca="false">ROUNDUP(K131/4,0)</f>
        <v>1</v>
      </c>
      <c r="M131" s="60" t="n">
        <f aca="false">I131+L131</f>
        <v>1</v>
      </c>
      <c r="N131" s="60" t="n">
        <f aca="false">J131</f>
        <v>1</v>
      </c>
      <c r="O131" s="1" t="s">
        <v>131</v>
      </c>
      <c r="S131" s="1" t="n">
        <v>10517</v>
      </c>
      <c r="T131" s="97"/>
      <c r="U131" s="97"/>
      <c r="V131" s="98" t="n">
        <v>62821</v>
      </c>
      <c r="W131" s="98"/>
      <c r="X131" s="98" t="s">
        <v>332</v>
      </c>
      <c r="Y131" s="99"/>
      <c r="Z131" s="101"/>
      <c r="AA131" s="101"/>
      <c r="AB131" s="101" t="n">
        <v>3</v>
      </c>
      <c r="AC131" s="101"/>
      <c r="AD131" s="60"/>
      <c r="AE131" s="60" t="n">
        <f aca="false">M131</f>
        <v>1</v>
      </c>
      <c r="AF131" s="60" t="n">
        <f aca="false">N131</f>
        <v>1</v>
      </c>
      <c r="AG131" s="102" t="n">
        <v>0</v>
      </c>
      <c r="AH131" s="102" t="n">
        <v>0</v>
      </c>
      <c r="AI131" s="102" t="n">
        <v>1</v>
      </c>
      <c r="AJ131" s="102" t="n">
        <v>1</v>
      </c>
      <c r="AK131" s="60" t="s">
        <v>316</v>
      </c>
      <c r="AL131" s="60" t="s">
        <v>136</v>
      </c>
      <c r="AM131" s="60" t="s">
        <v>317</v>
      </c>
      <c r="AN131" s="60" t="s">
        <v>318</v>
      </c>
    </row>
    <row r="132" customFormat="false" ht="15" hidden="false" customHeight="false" outlineLevel="0" collapsed="false">
      <c r="A132" s="1" t="n">
        <v>4</v>
      </c>
      <c r="B132" s="1" t="s">
        <v>38</v>
      </c>
      <c r="C132" s="1" t="s">
        <v>382</v>
      </c>
      <c r="D132" s="1" t="n">
        <v>10</v>
      </c>
      <c r="E132" s="78" t="str">
        <f aca="false">IF(D132&gt;8,"2 de 30h","1 de 44h")</f>
        <v>2 de 30h</v>
      </c>
      <c r="F132" s="95" t="s">
        <v>381</v>
      </c>
      <c r="G132" s="1" t="n">
        <v>1</v>
      </c>
      <c r="H132" s="96"/>
      <c r="I132" s="96" t="n">
        <v>2</v>
      </c>
      <c r="J132" s="96"/>
      <c r="K132" s="78" t="n">
        <v>1</v>
      </c>
      <c r="L132" s="96" t="n">
        <f aca="false">ROUNDUP(K132/4,0)</f>
        <v>1</v>
      </c>
      <c r="M132" s="96" t="n">
        <f aca="false">I132+L132</f>
        <v>3</v>
      </c>
      <c r="N132" s="96" t="n">
        <f aca="false">J132</f>
        <v>0</v>
      </c>
      <c r="O132" s="1" t="s">
        <v>129</v>
      </c>
      <c r="P132" s="1" t="s">
        <v>130</v>
      </c>
      <c r="Q132" s="1" t="s">
        <v>129</v>
      </c>
      <c r="R132" s="1" t="s">
        <v>129</v>
      </c>
      <c r="S132" s="1" t="n">
        <v>18636</v>
      </c>
      <c r="T132" s="97"/>
      <c r="U132" s="97"/>
      <c r="V132" s="98" t="n">
        <v>28843</v>
      </c>
      <c r="W132" s="98"/>
      <c r="X132" s="98" t="s">
        <v>383</v>
      </c>
      <c r="Y132" s="99"/>
      <c r="Z132" s="100"/>
      <c r="AA132" s="100"/>
      <c r="AB132" s="100" t="n">
        <v>3</v>
      </c>
      <c r="AC132" s="100"/>
      <c r="AD132" s="96"/>
      <c r="AE132" s="96" t="n">
        <f aca="false">M132</f>
        <v>3</v>
      </c>
      <c r="AF132" s="96" t="n">
        <f aca="false">N132</f>
        <v>0</v>
      </c>
      <c r="AG132" s="31" t="n">
        <v>0</v>
      </c>
      <c r="AH132" s="31" t="n">
        <v>0</v>
      </c>
      <c r="AI132" s="31" t="n">
        <v>3</v>
      </c>
      <c r="AJ132" s="31" t="n">
        <v>0</v>
      </c>
      <c r="AK132" s="60" t="s">
        <v>316</v>
      </c>
      <c r="AL132" s="60" t="s">
        <v>136</v>
      </c>
      <c r="AM132" s="60" t="s">
        <v>317</v>
      </c>
      <c r="AN132" s="60" t="s">
        <v>318</v>
      </c>
    </row>
    <row r="133" customFormat="false" ht="15" hidden="false" customHeight="false" outlineLevel="0" collapsed="false">
      <c r="A133" s="1" t="n">
        <v>5</v>
      </c>
      <c r="B133" s="1" t="s">
        <v>42</v>
      </c>
      <c r="C133" s="1" t="s">
        <v>378</v>
      </c>
      <c r="D133" s="1" t="n">
        <v>10</v>
      </c>
      <c r="E133" s="78" t="str">
        <f aca="false">IF(D133&gt;8,"2 de 30h","1 de 44h")</f>
        <v>2 de 30h</v>
      </c>
      <c r="F133" s="95" t="s">
        <v>384</v>
      </c>
      <c r="G133" s="1" t="n">
        <v>1</v>
      </c>
      <c r="H133" s="60"/>
      <c r="I133" s="60" t="n">
        <v>2</v>
      </c>
      <c r="J133" s="60"/>
      <c r="K133" s="78" t="n">
        <v>4</v>
      </c>
      <c r="L133" s="60" t="n">
        <f aca="false">K133/4</f>
        <v>1</v>
      </c>
      <c r="M133" s="60" t="n">
        <f aca="false">I133+L133</f>
        <v>3</v>
      </c>
      <c r="N133" s="60" t="n">
        <f aca="false">J133</f>
        <v>0</v>
      </c>
      <c r="O133" s="1" t="s">
        <v>129</v>
      </c>
      <c r="P133" s="1" t="s">
        <v>130</v>
      </c>
      <c r="Q133" s="1" t="s">
        <v>129</v>
      </c>
      <c r="R133" s="1" t="s">
        <v>129</v>
      </c>
      <c r="S133" s="1" t="n">
        <v>19158</v>
      </c>
      <c r="T133" s="97" t="s">
        <v>132</v>
      </c>
      <c r="U133" s="97"/>
      <c r="V133" s="98"/>
      <c r="W133" s="98"/>
      <c r="X133" s="98"/>
      <c r="Y133" s="99" t="s">
        <v>132</v>
      </c>
      <c r="Z133" s="101"/>
      <c r="AA133" s="101"/>
      <c r="AB133" s="101" t="n">
        <v>3</v>
      </c>
      <c r="AC133" s="101"/>
      <c r="AD133" s="60"/>
      <c r="AE133" s="60" t="n">
        <f aca="false">M133</f>
        <v>3</v>
      </c>
      <c r="AF133" s="60" t="n">
        <f aca="false">N133</f>
        <v>0</v>
      </c>
      <c r="AG133" s="102" t="n">
        <v>0</v>
      </c>
      <c r="AH133" s="102" t="n">
        <v>0</v>
      </c>
      <c r="AI133" s="102" t="n">
        <v>2</v>
      </c>
      <c r="AJ133" s="102" t="n">
        <v>1</v>
      </c>
      <c r="AK133" s="60" t="s">
        <v>385</v>
      </c>
      <c r="AL133" s="60" t="s">
        <v>136</v>
      </c>
      <c r="AM133" s="60" t="s">
        <v>317</v>
      </c>
      <c r="AN133" s="60" t="s">
        <v>318</v>
      </c>
    </row>
    <row r="134" customFormat="false" ht="15" hidden="false" customHeight="false" outlineLevel="0" collapsed="false">
      <c r="A134" s="1" t="n">
        <v>6</v>
      </c>
      <c r="B134" s="1" t="s">
        <v>43</v>
      </c>
      <c r="C134" s="1" t="s">
        <v>382</v>
      </c>
      <c r="D134" s="1" t="n">
        <v>10</v>
      </c>
      <c r="E134" s="78" t="str">
        <f aca="false">IF(D134&gt;8,"2 de 30h","1 de 44h")</f>
        <v>2 de 30h</v>
      </c>
      <c r="F134" s="95"/>
      <c r="G134" s="1" t="n">
        <v>2</v>
      </c>
      <c r="H134" s="96"/>
      <c r="I134" s="96" t="n">
        <v>3</v>
      </c>
      <c r="J134" s="96"/>
      <c r="K134" s="78" t="n">
        <v>0</v>
      </c>
      <c r="L134" s="96" t="n">
        <f aca="false">K134/4</f>
        <v>0</v>
      </c>
      <c r="M134" s="96" t="n">
        <f aca="false">I134+L134</f>
        <v>3</v>
      </c>
      <c r="N134" s="96" t="n">
        <f aca="false">J134</f>
        <v>0</v>
      </c>
      <c r="O134" s="1" t="s">
        <v>131</v>
      </c>
      <c r="S134" s="1" t="n">
        <v>3409</v>
      </c>
      <c r="T134" s="97"/>
      <c r="U134" s="97"/>
      <c r="V134" s="98" t="n">
        <v>34328</v>
      </c>
      <c r="W134" s="98"/>
      <c r="X134" s="98" t="s">
        <v>386</v>
      </c>
      <c r="Y134" s="99"/>
      <c r="Z134" s="100"/>
      <c r="AA134" s="100"/>
      <c r="AB134" s="100" t="n">
        <v>3</v>
      </c>
      <c r="AC134" s="100"/>
      <c r="AD134" s="96"/>
      <c r="AE134" s="96" t="n">
        <f aca="false">M134</f>
        <v>3</v>
      </c>
      <c r="AF134" s="96" t="n">
        <f aca="false">N134</f>
        <v>0</v>
      </c>
      <c r="AG134" s="31" t="n">
        <v>0</v>
      </c>
      <c r="AH134" s="31" t="n">
        <v>0</v>
      </c>
      <c r="AI134" s="31" t="n">
        <v>3</v>
      </c>
      <c r="AJ134" s="31" t="n">
        <v>0</v>
      </c>
      <c r="AK134" s="60" t="s">
        <v>316</v>
      </c>
      <c r="AL134" s="60" t="s">
        <v>136</v>
      </c>
      <c r="AM134" s="60" t="s">
        <v>317</v>
      </c>
      <c r="AN134" s="60" t="s">
        <v>318</v>
      </c>
    </row>
    <row r="135" customFormat="false" ht="15" hidden="false" customHeight="false" outlineLevel="0" collapsed="false">
      <c r="A135" s="1" t="n">
        <v>7</v>
      </c>
      <c r="B135" s="1" t="s">
        <v>44</v>
      </c>
      <c r="C135" s="1" t="s">
        <v>382</v>
      </c>
      <c r="D135" s="1" t="n">
        <v>10</v>
      </c>
      <c r="E135" s="78" t="str">
        <f aca="false">IF(D135&gt;8,"2 de 30h","1 de 44h")</f>
        <v>2 de 30h</v>
      </c>
      <c r="F135" s="95" t="s">
        <v>387</v>
      </c>
      <c r="G135" s="1" t="n">
        <v>1</v>
      </c>
      <c r="H135" s="60"/>
      <c r="I135" s="60" t="n">
        <v>2</v>
      </c>
      <c r="J135" s="60"/>
      <c r="K135" s="78" t="n">
        <v>2</v>
      </c>
      <c r="L135" s="60" t="n">
        <f aca="false">ROUNDUP(K135/4,0)</f>
        <v>1</v>
      </c>
      <c r="M135" s="60" t="n">
        <f aca="false">I135+L135</f>
        <v>3</v>
      </c>
      <c r="N135" s="60" t="n">
        <f aca="false">J135</f>
        <v>0</v>
      </c>
      <c r="O135" s="1" t="s">
        <v>131</v>
      </c>
      <c r="S135" s="1" t="n">
        <v>5740</v>
      </c>
      <c r="T135" s="97"/>
      <c r="U135" s="97"/>
      <c r="V135" s="98" t="n">
        <v>38058</v>
      </c>
      <c r="W135" s="98"/>
      <c r="X135" s="98" t="s">
        <v>274</v>
      </c>
      <c r="Y135" s="99"/>
      <c r="Z135" s="101"/>
      <c r="AA135" s="101"/>
      <c r="AB135" s="101" t="n">
        <v>2</v>
      </c>
      <c r="AC135" s="101"/>
      <c r="AD135" s="60"/>
      <c r="AE135" s="60" t="n">
        <f aca="false">M135</f>
        <v>3</v>
      </c>
      <c r="AF135" s="60" t="n">
        <f aca="false">N135</f>
        <v>0</v>
      </c>
      <c r="AG135" s="102" t="n">
        <v>0</v>
      </c>
      <c r="AH135" s="102" t="n">
        <v>0</v>
      </c>
      <c r="AI135" s="102" t="n">
        <v>3</v>
      </c>
      <c r="AJ135" s="102" t="n">
        <v>0</v>
      </c>
      <c r="AK135" s="60" t="s">
        <v>316</v>
      </c>
      <c r="AL135" s="60" t="s">
        <v>136</v>
      </c>
      <c r="AM135" s="60" t="s">
        <v>317</v>
      </c>
      <c r="AN135" s="60" t="s">
        <v>318</v>
      </c>
    </row>
    <row r="136" customFormat="false" ht="15" hidden="false" customHeight="false" outlineLevel="0" collapsed="false">
      <c r="A136" s="1" t="n">
        <v>8</v>
      </c>
      <c r="B136" s="1" t="s">
        <v>46</v>
      </c>
      <c r="C136" s="1" t="s">
        <v>382</v>
      </c>
      <c r="D136" s="1" t="n">
        <v>10</v>
      </c>
      <c r="E136" s="78" t="str">
        <f aca="false">IF(D136&gt;8,"2 de 30h","1 de 44h")</f>
        <v>2 de 30h</v>
      </c>
      <c r="F136" s="95" t="s">
        <v>388</v>
      </c>
      <c r="G136" s="1" t="n">
        <v>1</v>
      </c>
      <c r="H136" s="96"/>
      <c r="I136" s="96" t="n">
        <v>2</v>
      </c>
      <c r="J136" s="96"/>
      <c r="K136" s="78" t="n">
        <v>2</v>
      </c>
      <c r="L136" s="96" t="n">
        <f aca="false">ROUNDUP(K136/4,0)</f>
        <v>1</v>
      </c>
      <c r="M136" s="96" t="n">
        <f aca="false">I136+L136</f>
        <v>3</v>
      </c>
      <c r="N136" s="96" t="n">
        <f aca="false">J136</f>
        <v>0</v>
      </c>
      <c r="O136" s="1" t="s">
        <v>129</v>
      </c>
      <c r="P136" s="1" t="s">
        <v>130</v>
      </c>
      <c r="Q136" s="1" t="s">
        <v>131</v>
      </c>
      <c r="S136" s="1" t="n">
        <v>16365</v>
      </c>
      <c r="T136" s="97" t="s">
        <v>132</v>
      </c>
      <c r="U136" s="97"/>
      <c r="V136" s="98" t="n">
        <v>68587</v>
      </c>
      <c r="W136" s="98"/>
      <c r="X136" s="98" t="s">
        <v>389</v>
      </c>
      <c r="Y136" s="99" t="s">
        <v>132</v>
      </c>
      <c r="Z136" s="100"/>
      <c r="AA136" s="100"/>
      <c r="AB136" s="100" t="n">
        <v>3</v>
      </c>
      <c r="AC136" s="100"/>
      <c r="AD136" s="96"/>
      <c r="AE136" s="96" t="n">
        <f aca="false">M136</f>
        <v>3</v>
      </c>
      <c r="AF136" s="96" t="n">
        <f aca="false">N136</f>
        <v>0</v>
      </c>
      <c r="AG136" s="31" t="n">
        <v>1</v>
      </c>
      <c r="AH136" s="31" t="n">
        <v>1</v>
      </c>
      <c r="AI136" s="31" t="n">
        <v>0</v>
      </c>
      <c r="AJ136" s="31" t="n">
        <v>1</v>
      </c>
      <c r="AK136" s="60" t="s">
        <v>316</v>
      </c>
      <c r="AL136" s="60" t="s">
        <v>136</v>
      </c>
      <c r="AM136" s="60" t="s">
        <v>317</v>
      </c>
      <c r="AN136" s="60" t="s">
        <v>318</v>
      </c>
    </row>
    <row r="137" customFormat="false" ht="15" hidden="false" customHeight="false" outlineLevel="0" collapsed="false">
      <c r="A137" s="1" t="n">
        <v>9</v>
      </c>
      <c r="B137" s="1" t="s">
        <v>48</v>
      </c>
      <c r="C137" s="1" t="s">
        <v>382</v>
      </c>
      <c r="D137" s="1" t="n">
        <v>10</v>
      </c>
      <c r="E137" s="78" t="str">
        <f aca="false">IF(D137&gt;8,"2 de 30h","1 de 44h")</f>
        <v>2 de 30h</v>
      </c>
      <c r="F137" s="95" t="s">
        <v>387</v>
      </c>
      <c r="G137" s="1" t="n">
        <v>1</v>
      </c>
      <c r="H137" s="60"/>
      <c r="I137" s="60" t="n">
        <v>2</v>
      </c>
      <c r="J137" s="60"/>
      <c r="K137" s="78" t="n">
        <v>3</v>
      </c>
      <c r="L137" s="60" t="n">
        <f aca="false">ROUNDUP(K137/4,0)</f>
        <v>1</v>
      </c>
      <c r="M137" s="60" t="n">
        <f aca="false">I137+L137</f>
        <v>3</v>
      </c>
      <c r="N137" s="60" t="n">
        <f aca="false">J137</f>
        <v>0</v>
      </c>
      <c r="O137" s="1" t="s">
        <v>129</v>
      </c>
      <c r="P137" s="1" t="s">
        <v>130</v>
      </c>
      <c r="Q137" s="1" t="s">
        <v>129</v>
      </c>
      <c r="R137" s="1" t="s">
        <v>131</v>
      </c>
      <c r="S137" s="1" t="n">
        <v>23285</v>
      </c>
      <c r="T137" s="97"/>
      <c r="U137" s="97"/>
      <c r="V137" s="98" t="n">
        <v>76275</v>
      </c>
      <c r="W137" s="98"/>
      <c r="X137" s="98" t="s">
        <v>390</v>
      </c>
      <c r="Y137" s="99"/>
      <c r="Z137" s="101"/>
      <c r="AA137" s="101"/>
      <c r="AB137" s="101" t="n">
        <v>3</v>
      </c>
      <c r="AC137" s="101"/>
      <c r="AD137" s="60"/>
      <c r="AE137" s="60" t="n">
        <f aca="false">M137</f>
        <v>3</v>
      </c>
      <c r="AF137" s="60" t="n">
        <f aca="false">N137</f>
        <v>0</v>
      </c>
      <c r="AG137" s="102" t="n">
        <v>0</v>
      </c>
      <c r="AH137" s="102" t="n">
        <v>0</v>
      </c>
      <c r="AI137" s="102" t="n">
        <v>3</v>
      </c>
      <c r="AJ137" s="102" t="n">
        <v>0</v>
      </c>
      <c r="AK137" s="60" t="s">
        <v>316</v>
      </c>
      <c r="AL137" s="60" t="s">
        <v>136</v>
      </c>
      <c r="AM137" s="60" t="s">
        <v>317</v>
      </c>
      <c r="AN137" s="60" t="s">
        <v>318</v>
      </c>
    </row>
    <row r="138" customFormat="false" ht="15" hidden="false" customHeight="false" outlineLevel="0" collapsed="false">
      <c r="A138" s="1" t="n">
        <v>10</v>
      </c>
      <c r="B138" s="1" t="s">
        <v>49</v>
      </c>
      <c r="C138" s="1" t="s">
        <v>382</v>
      </c>
      <c r="D138" s="1" t="n">
        <v>10</v>
      </c>
      <c r="E138" s="78" t="str">
        <f aca="false">IF(D138&gt;8,"2 de 30h","1 de 44h")</f>
        <v>2 de 30h</v>
      </c>
      <c r="F138" s="95" t="s">
        <v>387</v>
      </c>
      <c r="G138" s="1" t="n">
        <v>1</v>
      </c>
      <c r="H138" s="96"/>
      <c r="I138" s="96" t="n">
        <v>2</v>
      </c>
      <c r="J138" s="96"/>
      <c r="K138" s="78" t="n">
        <v>1</v>
      </c>
      <c r="L138" s="96" t="n">
        <f aca="false">ROUNDUP(K138/4,0)</f>
        <v>1</v>
      </c>
      <c r="M138" s="96" t="n">
        <f aca="false">I138+L138</f>
        <v>3</v>
      </c>
      <c r="N138" s="96" t="n">
        <f aca="false">J138</f>
        <v>0</v>
      </c>
      <c r="O138" s="1" t="s">
        <v>129</v>
      </c>
      <c r="P138" s="1" t="s">
        <v>130</v>
      </c>
      <c r="Q138" s="1" t="s">
        <v>129</v>
      </c>
      <c r="R138" s="1" t="s">
        <v>131</v>
      </c>
      <c r="S138" s="1" t="n">
        <v>8081</v>
      </c>
      <c r="T138" s="97"/>
      <c r="U138" s="97"/>
      <c r="V138" s="98" t="n">
        <v>34556</v>
      </c>
      <c r="W138" s="98"/>
      <c r="X138" s="98" t="s">
        <v>391</v>
      </c>
      <c r="Y138" s="99"/>
      <c r="Z138" s="100"/>
      <c r="AA138" s="100"/>
      <c r="AB138" s="100" t="n">
        <v>2</v>
      </c>
      <c r="AC138" s="100"/>
      <c r="AD138" s="96"/>
      <c r="AE138" s="96" t="n">
        <f aca="false">M138</f>
        <v>3</v>
      </c>
      <c r="AF138" s="96" t="n">
        <f aca="false">N138</f>
        <v>0</v>
      </c>
      <c r="AG138" s="31" t="n">
        <v>0</v>
      </c>
      <c r="AH138" s="31" t="n">
        <v>0</v>
      </c>
      <c r="AI138" s="31" t="n">
        <v>3</v>
      </c>
      <c r="AJ138" s="31" t="n">
        <v>0</v>
      </c>
      <c r="AK138" s="60" t="s">
        <v>316</v>
      </c>
      <c r="AL138" s="60" t="s">
        <v>136</v>
      </c>
      <c r="AM138" s="60" t="s">
        <v>317</v>
      </c>
      <c r="AN138" s="60" t="s">
        <v>318</v>
      </c>
    </row>
    <row r="139" customFormat="false" ht="15" hidden="false" customHeight="false" outlineLevel="0" collapsed="false">
      <c r="A139" s="1" t="n">
        <v>11</v>
      </c>
      <c r="B139" s="1" t="s">
        <v>50</v>
      </c>
      <c r="C139" s="1" t="s">
        <v>382</v>
      </c>
      <c r="D139" s="1" t="n">
        <v>10</v>
      </c>
      <c r="E139" s="78" t="str">
        <f aca="false">IF(D139&gt;8,"2 de 30h","1 de 44h")</f>
        <v>2 de 30h</v>
      </c>
      <c r="F139" s="95" t="s">
        <v>387</v>
      </c>
      <c r="G139" s="1" t="n">
        <v>1</v>
      </c>
      <c r="H139" s="60"/>
      <c r="I139" s="60" t="n">
        <v>2</v>
      </c>
      <c r="J139" s="60"/>
      <c r="K139" s="78" t="n">
        <v>1</v>
      </c>
      <c r="L139" s="60" t="n">
        <f aca="false">ROUNDUP(K139/4,0)</f>
        <v>1</v>
      </c>
      <c r="M139" s="60" t="n">
        <f aca="false">I139+L139</f>
        <v>3</v>
      </c>
      <c r="N139" s="60" t="n">
        <f aca="false">J139</f>
        <v>0</v>
      </c>
      <c r="O139" s="1" t="s">
        <v>129</v>
      </c>
      <c r="P139" s="1" t="s">
        <v>130</v>
      </c>
      <c r="Q139" s="1" t="s">
        <v>129</v>
      </c>
      <c r="R139" s="1" t="s">
        <v>129</v>
      </c>
      <c r="S139" s="1" t="n">
        <v>7888</v>
      </c>
      <c r="T139" s="97"/>
      <c r="U139" s="97"/>
      <c r="V139" s="98" t="n">
        <v>23726</v>
      </c>
      <c r="W139" s="98"/>
      <c r="X139" s="98" t="s">
        <v>233</v>
      </c>
      <c r="Y139" s="99"/>
      <c r="Z139" s="101"/>
      <c r="AA139" s="101"/>
      <c r="AB139" s="101" t="n">
        <v>2</v>
      </c>
      <c r="AC139" s="101"/>
      <c r="AD139" s="60"/>
      <c r="AE139" s="60" t="n">
        <f aca="false">M139</f>
        <v>3</v>
      </c>
      <c r="AF139" s="60" t="n">
        <f aca="false">N139</f>
        <v>0</v>
      </c>
      <c r="AG139" s="102" t="n">
        <v>0</v>
      </c>
      <c r="AH139" s="102" t="n">
        <v>0</v>
      </c>
      <c r="AI139" s="102" t="n">
        <v>3</v>
      </c>
      <c r="AJ139" s="102" t="n">
        <v>0</v>
      </c>
      <c r="AK139" s="60" t="s">
        <v>316</v>
      </c>
      <c r="AL139" s="60" t="s">
        <v>136</v>
      </c>
      <c r="AM139" s="60" t="s">
        <v>317</v>
      </c>
      <c r="AN139" s="60" t="s">
        <v>318</v>
      </c>
    </row>
    <row r="140" customFormat="false" ht="15" hidden="false" customHeight="false" outlineLevel="0" collapsed="false">
      <c r="A140" s="1" t="n">
        <v>12</v>
      </c>
      <c r="B140" s="1" t="s">
        <v>51</v>
      </c>
      <c r="C140" s="1" t="s">
        <v>382</v>
      </c>
      <c r="D140" s="1" t="n">
        <v>10</v>
      </c>
      <c r="E140" s="78" t="str">
        <f aca="false">IF(D140&gt;8,"2 de 30h","1 de 44h")</f>
        <v>2 de 30h</v>
      </c>
      <c r="F140" s="95" t="s">
        <v>387</v>
      </c>
      <c r="G140" s="1" t="n">
        <v>1</v>
      </c>
      <c r="H140" s="96"/>
      <c r="I140" s="96" t="n">
        <v>2</v>
      </c>
      <c r="J140" s="96"/>
      <c r="K140" s="78" t="n">
        <v>3</v>
      </c>
      <c r="L140" s="96" t="n">
        <f aca="false">ROUNDUP(K140/4,0)</f>
        <v>1</v>
      </c>
      <c r="M140" s="96" t="n">
        <f aca="false">I140+L140</f>
        <v>3</v>
      </c>
      <c r="N140" s="96" t="n">
        <f aca="false">J140</f>
        <v>0</v>
      </c>
      <c r="O140" s="1" t="s">
        <v>129</v>
      </c>
      <c r="P140" s="1" t="s">
        <v>185</v>
      </c>
      <c r="Q140" s="1" t="s">
        <v>131</v>
      </c>
      <c r="S140" s="1" t="n">
        <v>13250</v>
      </c>
      <c r="T140" s="97"/>
      <c r="U140" s="97"/>
      <c r="V140" s="98" t="n">
        <v>23965</v>
      </c>
      <c r="W140" s="98"/>
      <c r="X140" s="98" t="s">
        <v>201</v>
      </c>
      <c r="Y140" s="99"/>
      <c r="Z140" s="100"/>
      <c r="AA140" s="100"/>
      <c r="AB140" s="100" t="n">
        <v>2</v>
      </c>
      <c r="AC140" s="100"/>
      <c r="AD140" s="96"/>
      <c r="AE140" s="96" t="n">
        <f aca="false">M140</f>
        <v>3</v>
      </c>
      <c r="AF140" s="96" t="n">
        <f aca="false">N140</f>
        <v>0</v>
      </c>
      <c r="AG140" s="31" t="n">
        <v>0</v>
      </c>
      <c r="AH140" s="31" t="n">
        <v>0</v>
      </c>
      <c r="AI140" s="31" t="n">
        <v>3</v>
      </c>
      <c r="AJ140" s="31" t="n">
        <v>0</v>
      </c>
      <c r="AK140" s="60" t="s">
        <v>316</v>
      </c>
      <c r="AL140" s="60" t="s">
        <v>136</v>
      </c>
      <c r="AM140" s="60" t="s">
        <v>317</v>
      </c>
      <c r="AN140" s="60" t="s">
        <v>318</v>
      </c>
    </row>
    <row r="141" customFormat="false" ht="15" hidden="false" customHeight="false" outlineLevel="0" collapsed="false">
      <c r="A141" s="1" t="n">
        <v>13</v>
      </c>
      <c r="B141" s="1" t="s">
        <v>39</v>
      </c>
      <c r="C141" s="1" t="s">
        <v>382</v>
      </c>
      <c r="D141" s="1" t="n">
        <v>10</v>
      </c>
      <c r="E141" s="78" t="str">
        <f aca="false">IF(D141&gt;8,"2 de 30h","1 de 44h")</f>
        <v>2 de 30h</v>
      </c>
      <c r="F141" s="95"/>
      <c r="G141" s="1" t="n">
        <v>1</v>
      </c>
      <c r="H141" s="60"/>
      <c r="I141" s="60" t="n">
        <v>2</v>
      </c>
      <c r="J141" s="60"/>
      <c r="K141" s="78" t="n">
        <v>0</v>
      </c>
      <c r="L141" s="60" t="n">
        <f aca="false">K141/4</f>
        <v>0</v>
      </c>
      <c r="M141" s="60" t="n">
        <f aca="false">I141+L141</f>
        <v>2</v>
      </c>
      <c r="N141" s="60" t="n">
        <f aca="false">J141</f>
        <v>0</v>
      </c>
      <c r="O141" s="1" t="s">
        <v>129</v>
      </c>
      <c r="P141" s="1" t="s">
        <v>130</v>
      </c>
      <c r="Q141" s="1" t="s">
        <v>131</v>
      </c>
      <c r="S141" s="1" t="n">
        <v>2969</v>
      </c>
      <c r="T141" s="97" t="s">
        <v>132</v>
      </c>
      <c r="U141" s="97"/>
      <c r="V141" s="98" t="n">
        <v>17075</v>
      </c>
      <c r="W141" s="98"/>
      <c r="X141" s="98" t="s">
        <v>244</v>
      </c>
      <c r="Y141" s="99" t="s">
        <v>132</v>
      </c>
      <c r="Z141" s="101"/>
      <c r="AA141" s="101"/>
      <c r="AB141" s="101" t="n">
        <v>2</v>
      </c>
      <c r="AC141" s="101"/>
      <c r="AD141" s="60"/>
      <c r="AE141" s="60" t="n">
        <f aca="false">M141</f>
        <v>2</v>
      </c>
      <c r="AF141" s="60" t="n">
        <f aca="false">N141</f>
        <v>0</v>
      </c>
      <c r="AG141" s="102" t="n">
        <v>0</v>
      </c>
      <c r="AH141" s="102" t="n">
        <v>0</v>
      </c>
      <c r="AI141" s="102" t="n">
        <v>2</v>
      </c>
      <c r="AJ141" s="102" t="n">
        <v>0</v>
      </c>
      <c r="AK141" s="60" t="s">
        <v>316</v>
      </c>
      <c r="AL141" s="60" t="s">
        <v>136</v>
      </c>
      <c r="AM141" s="60" t="s">
        <v>317</v>
      </c>
      <c r="AN141" s="60" t="s">
        <v>318</v>
      </c>
    </row>
    <row r="142" customFormat="false" ht="15" hidden="false" customHeight="false" outlineLevel="0" collapsed="false">
      <c r="A142" s="1" t="n">
        <v>14</v>
      </c>
      <c r="B142" s="1" t="s">
        <v>40</v>
      </c>
      <c r="C142" s="1" t="s">
        <v>392</v>
      </c>
      <c r="D142" s="1" t="n">
        <v>6</v>
      </c>
      <c r="E142" s="78" t="str">
        <f aca="false">IF(D142&gt;8,"2 de 30h","1 de 44h")</f>
        <v>1 de 44h</v>
      </c>
      <c r="F142" s="95"/>
      <c r="G142" s="1" t="n">
        <v>1</v>
      </c>
      <c r="H142" s="96"/>
      <c r="I142" s="96"/>
      <c r="J142" s="96" t="n">
        <v>1</v>
      </c>
      <c r="K142" s="78" t="n">
        <v>0</v>
      </c>
      <c r="L142" s="96" t="n">
        <f aca="false">K142/4</f>
        <v>0</v>
      </c>
      <c r="M142" s="96" t="n">
        <f aca="false">I142+L142</f>
        <v>0</v>
      </c>
      <c r="N142" s="96" t="n">
        <f aca="false">J142</f>
        <v>1</v>
      </c>
      <c r="O142" s="1" t="s">
        <v>129</v>
      </c>
      <c r="P142" s="1" t="s">
        <v>130</v>
      </c>
      <c r="Q142" s="1" t="s">
        <v>129</v>
      </c>
      <c r="R142" s="1" t="s">
        <v>131</v>
      </c>
      <c r="S142" s="1" t="n">
        <v>3088</v>
      </c>
      <c r="T142" s="97" t="s">
        <v>132</v>
      </c>
      <c r="U142" s="97"/>
      <c r="V142" s="98" t="n">
        <v>18348</v>
      </c>
      <c r="W142" s="98"/>
      <c r="X142" s="98" t="s">
        <v>393</v>
      </c>
      <c r="Y142" s="99" t="s">
        <v>132</v>
      </c>
      <c r="Z142" s="100"/>
      <c r="AA142" s="100"/>
      <c r="AB142" s="100" t="n">
        <v>2</v>
      </c>
      <c r="AC142" s="100" t="n">
        <v>1</v>
      </c>
      <c r="AD142" s="96"/>
      <c r="AE142" s="96" t="n">
        <f aca="false">M142</f>
        <v>0</v>
      </c>
      <c r="AF142" s="96" t="n">
        <f aca="false">N142</f>
        <v>1</v>
      </c>
      <c r="AG142" s="31" t="n">
        <v>0</v>
      </c>
      <c r="AH142" s="31" t="n">
        <v>0</v>
      </c>
      <c r="AI142" s="31" t="n">
        <v>0</v>
      </c>
      <c r="AJ142" s="31" t="n">
        <v>1</v>
      </c>
      <c r="AK142" s="60" t="s">
        <v>316</v>
      </c>
      <c r="AL142" s="60" t="s">
        <v>136</v>
      </c>
      <c r="AM142" s="60" t="s">
        <v>317</v>
      </c>
      <c r="AN142" s="60" t="s">
        <v>318</v>
      </c>
    </row>
    <row r="143" customFormat="false" ht="15" hidden="false" customHeight="false" outlineLevel="0" collapsed="false">
      <c r="A143" s="1" t="n">
        <v>15</v>
      </c>
      <c r="B143" s="1" t="s">
        <v>41</v>
      </c>
      <c r="C143" s="1" t="s">
        <v>392</v>
      </c>
      <c r="D143" s="1" t="n">
        <v>6</v>
      </c>
      <c r="E143" s="78" t="str">
        <f aca="false">IF(D143&gt;8,"2 de 30h","1 de 44h")</f>
        <v>1 de 44h</v>
      </c>
      <c r="F143" s="95"/>
      <c r="G143" s="1" t="n">
        <v>1</v>
      </c>
      <c r="H143" s="60"/>
      <c r="I143" s="60"/>
      <c r="J143" s="60" t="n">
        <v>1</v>
      </c>
      <c r="K143" s="78" t="n">
        <v>0</v>
      </c>
      <c r="L143" s="60" t="n">
        <f aca="false">K143/4</f>
        <v>0</v>
      </c>
      <c r="M143" s="60" t="n">
        <f aca="false">I143+L143</f>
        <v>0</v>
      </c>
      <c r="N143" s="60" t="n">
        <f aca="false">J143</f>
        <v>1</v>
      </c>
      <c r="O143" s="1" t="s">
        <v>129</v>
      </c>
      <c r="P143" s="1" t="s">
        <v>130</v>
      </c>
      <c r="Q143" s="1" t="s">
        <v>129</v>
      </c>
      <c r="R143" s="1" t="s">
        <v>131</v>
      </c>
      <c r="S143" s="1" t="n">
        <v>1909</v>
      </c>
      <c r="T143" s="97"/>
      <c r="U143" s="97"/>
      <c r="V143" s="98" t="n">
        <v>19310</v>
      </c>
      <c r="W143" s="98"/>
      <c r="X143" s="98" t="s">
        <v>394</v>
      </c>
      <c r="Y143" s="99"/>
      <c r="Z143" s="101"/>
      <c r="AA143" s="101"/>
      <c r="AB143" s="101" t="n">
        <v>2</v>
      </c>
      <c r="AC143" s="101"/>
      <c r="AD143" s="60"/>
      <c r="AE143" s="60" t="n">
        <f aca="false">M143</f>
        <v>0</v>
      </c>
      <c r="AF143" s="60" t="n">
        <f aca="false">N143</f>
        <v>1</v>
      </c>
      <c r="AG143" s="102" t="n">
        <v>0</v>
      </c>
      <c r="AH143" s="102" t="n">
        <v>0</v>
      </c>
      <c r="AI143" s="102" t="n">
        <v>0</v>
      </c>
      <c r="AJ143" s="102" t="n">
        <v>1</v>
      </c>
      <c r="AK143" s="60" t="s">
        <v>395</v>
      </c>
      <c r="AL143" s="60" t="s">
        <v>136</v>
      </c>
      <c r="AM143" s="60" t="s">
        <v>317</v>
      </c>
      <c r="AN143" s="60" t="s">
        <v>318</v>
      </c>
    </row>
    <row r="144" customFormat="false" ht="15" hidden="false" customHeight="false" outlineLevel="0" collapsed="false">
      <c r="A144" s="1" t="n">
        <v>16</v>
      </c>
      <c r="B144" s="1" t="s">
        <v>45</v>
      </c>
      <c r="C144" s="1" t="s">
        <v>378</v>
      </c>
      <c r="D144" s="1" t="n">
        <v>10</v>
      </c>
      <c r="E144" s="78" t="str">
        <f aca="false">IF(D144&gt;8,"2 de 30h","1 de 44h")</f>
        <v>2 de 30h</v>
      </c>
      <c r="F144" s="95"/>
      <c r="G144" s="1" t="n">
        <v>1</v>
      </c>
      <c r="H144" s="96"/>
      <c r="I144" s="96" t="n">
        <v>2</v>
      </c>
      <c r="J144" s="96"/>
      <c r="K144" s="78" t="n">
        <v>0</v>
      </c>
      <c r="L144" s="96" t="n">
        <f aca="false">ROUNDUP(K144/4,0)</f>
        <v>0</v>
      </c>
      <c r="M144" s="96" t="n">
        <f aca="false">I144+L144</f>
        <v>2</v>
      </c>
      <c r="N144" s="96" t="n">
        <f aca="false">J144</f>
        <v>0</v>
      </c>
      <c r="O144" s="1" t="s">
        <v>129</v>
      </c>
      <c r="P144" s="1" t="s">
        <v>130</v>
      </c>
      <c r="Q144" s="1" t="s">
        <v>131</v>
      </c>
      <c r="S144" s="1" t="n">
        <v>2045</v>
      </c>
      <c r="T144" s="97"/>
      <c r="U144" s="97"/>
      <c r="V144" s="98" t="n">
        <v>5413</v>
      </c>
      <c r="W144" s="98"/>
      <c r="X144" s="98" t="s">
        <v>396</v>
      </c>
      <c r="Y144" s="99"/>
      <c r="Z144" s="100"/>
      <c r="AA144" s="100"/>
      <c r="AB144" s="100" t="n">
        <v>2</v>
      </c>
      <c r="AC144" s="100"/>
      <c r="AD144" s="96"/>
      <c r="AE144" s="96" t="n">
        <f aca="false">M144</f>
        <v>2</v>
      </c>
      <c r="AF144" s="96" t="n">
        <f aca="false">N144</f>
        <v>0</v>
      </c>
      <c r="AG144" s="31" t="n">
        <v>0</v>
      </c>
      <c r="AH144" s="31" t="n">
        <v>0</v>
      </c>
      <c r="AI144" s="31" t="n">
        <v>2</v>
      </c>
      <c r="AJ144" s="31" t="n">
        <v>0</v>
      </c>
      <c r="AK144" s="60" t="s">
        <v>316</v>
      </c>
      <c r="AL144" s="60" t="s">
        <v>136</v>
      </c>
      <c r="AM144" s="60" t="s">
        <v>317</v>
      </c>
      <c r="AN144" s="60" t="s">
        <v>318</v>
      </c>
    </row>
    <row r="145" customFormat="false" ht="9" hidden="false" customHeight="true" outlineLevel="0" collapsed="false">
      <c r="A145" s="106"/>
      <c r="B145" s="106"/>
      <c r="C145" s="106"/>
      <c r="D145" s="106"/>
      <c r="E145" s="107"/>
      <c r="F145" s="107"/>
      <c r="G145" s="106"/>
      <c r="H145" s="108"/>
      <c r="I145" s="108"/>
      <c r="J145" s="108"/>
      <c r="K145" s="107"/>
      <c r="L145" s="108"/>
      <c r="M145" s="108"/>
      <c r="N145" s="108"/>
      <c r="O145" s="106"/>
      <c r="P145" s="106"/>
      <c r="Q145" s="106"/>
      <c r="R145" s="106"/>
      <c r="S145" s="106"/>
      <c r="T145" s="109"/>
      <c r="U145" s="109"/>
      <c r="V145" s="109"/>
      <c r="W145" s="109"/>
      <c r="X145" s="109"/>
      <c r="Y145" s="109"/>
      <c r="Z145" s="110"/>
      <c r="AA145" s="110"/>
      <c r="AB145" s="110"/>
      <c r="AC145" s="110"/>
      <c r="AD145" s="108"/>
      <c r="AE145" s="108"/>
      <c r="AF145" s="108"/>
      <c r="AG145" s="108"/>
      <c r="AH145" s="108"/>
      <c r="AI145" s="108"/>
      <c r="AJ145" s="108"/>
      <c r="AK145" s="108"/>
      <c r="AL145" s="108"/>
      <c r="AM145" s="108"/>
      <c r="AN145" s="108"/>
    </row>
    <row r="146" customFormat="false" ht="15" hidden="false" customHeight="false" outlineLevel="0" collapsed="false">
      <c r="A146" s="1" t="n">
        <v>1</v>
      </c>
      <c r="B146" s="1" t="s">
        <v>397</v>
      </c>
      <c r="C146" s="1" t="s">
        <v>128</v>
      </c>
      <c r="F146" s="95"/>
      <c r="G146" s="1" t="n">
        <v>1</v>
      </c>
      <c r="H146" s="96" t="n">
        <v>1</v>
      </c>
      <c r="I146" s="96"/>
      <c r="J146" s="96"/>
      <c r="K146" s="78" t="n">
        <v>0</v>
      </c>
      <c r="L146" s="96" t="n">
        <f aca="false">K146/4</f>
        <v>0</v>
      </c>
      <c r="M146" s="96" t="n">
        <f aca="false">I146+L146</f>
        <v>0</v>
      </c>
      <c r="N146" s="96" t="n">
        <f aca="false">J146</f>
        <v>0</v>
      </c>
      <c r="O146" s="1" t="s">
        <v>129</v>
      </c>
      <c r="P146" s="1" t="s">
        <v>130</v>
      </c>
      <c r="Q146" s="1" t="s">
        <v>129</v>
      </c>
      <c r="R146" s="1" t="s">
        <v>129</v>
      </c>
      <c r="S146" s="1" t="n">
        <v>197031</v>
      </c>
      <c r="T146" s="97"/>
      <c r="U146" s="97"/>
      <c r="V146" s="98" t="n">
        <v>238940</v>
      </c>
      <c r="W146" s="98" t="s">
        <v>398</v>
      </c>
      <c r="X146" s="98" t="s">
        <v>279</v>
      </c>
      <c r="Y146" s="99" t="s">
        <v>132</v>
      </c>
      <c r="Z146" s="100"/>
      <c r="AA146" s="100"/>
      <c r="AB146" s="100" t="n">
        <v>1</v>
      </c>
      <c r="AC146" s="100" t="n">
        <v>1</v>
      </c>
      <c r="AD146" s="96" t="n">
        <f aca="false">H146</f>
        <v>1</v>
      </c>
      <c r="AE146" s="96" t="n">
        <f aca="false">M146</f>
        <v>0</v>
      </c>
      <c r="AF146" s="96" t="n">
        <f aca="false">N146</f>
        <v>0</v>
      </c>
      <c r="AG146" s="31" t="n">
        <v>0</v>
      </c>
      <c r="AH146" s="31" t="n">
        <v>0</v>
      </c>
      <c r="AI146" s="31" t="n">
        <v>1</v>
      </c>
      <c r="AJ146" s="31" t="n">
        <v>1</v>
      </c>
      <c r="AK146" s="60" t="s">
        <v>316</v>
      </c>
      <c r="AL146" s="60" t="s">
        <v>136</v>
      </c>
      <c r="AM146" s="60" t="s">
        <v>317</v>
      </c>
      <c r="AN146" s="60" t="s">
        <v>318</v>
      </c>
    </row>
    <row r="147" customFormat="false" ht="15" hidden="false" customHeight="false" outlineLevel="0" collapsed="false">
      <c r="A147" s="1" t="n">
        <v>2</v>
      </c>
      <c r="B147" s="1" t="s">
        <v>399</v>
      </c>
      <c r="C147" s="1" t="s">
        <v>128</v>
      </c>
      <c r="F147" s="95"/>
      <c r="G147" s="1" t="n">
        <v>1</v>
      </c>
      <c r="H147" s="60"/>
      <c r="I147" s="60"/>
      <c r="J147" s="60"/>
      <c r="L147" s="60" t="n">
        <f aca="false">K147/4</f>
        <v>0</v>
      </c>
      <c r="M147" s="60" t="n">
        <f aca="false">I147+L147</f>
        <v>0</v>
      </c>
      <c r="N147" s="60" t="n">
        <f aca="false">J147</f>
        <v>0</v>
      </c>
      <c r="O147" s="1" t="s">
        <v>129</v>
      </c>
      <c r="P147" s="1" t="s">
        <v>130</v>
      </c>
      <c r="Q147" s="1" t="s">
        <v>129</v>
      </c>
      <c r="R147" s="1" t="s">
        <v>131</v>
      </c>
      <c r="T147" s="97" t="s">
        <v>132</v>
      </c>
      <c r="U147" s="97"/>
      <c r="V147" s="98"/>
      <c r="W147" s="98"/>
      <c r="X147" s="98"/>
      <c r="Y147" s="99" t="s">
        <v>132</v>
      </c>
      <c r="Z147" s="101"/>
      <c r="AA147" s="101"/>
      <c r="AB147" s="101" t="n">
        <v>2</v>
      </c>
      <c r="AC147" s="101" t="n">
        <v>0</v>
      </c>
      <c r="AD147" s="60"/>
      <c r="AE147" s="60" t="n">
        <v>2</v>
      </c>
      <c r="AF147" s="60" t="n">
        <f aca="false">N147</f>
        <v>0</v>
      </c>
      <c r="AG147" s="102" t="n">
        <v>0</v>
      </c>
      <c r="AH147" s="102" t="n">
        <v>1</v>
      </c>
      <c r="AI147" s="102" t="n">
        <v>2</v>
      </c>
      <c r="AJ147" s="102" t="n">
        <v>0</v>
      </c>
      <c r="AK147" s="60" t="s">
        <v>316</v>
      </c>
      <c r="AL147" s="60" t="s">
        <v>136</v>
      </c>
      <c r="AM147" s="60" t="s">
        <v>317</v>
      </c>
      <c r="AN147" s="60" t="s">
        <v>318</v>
      </c>
    </row>
    <row r="148" customFormat="false" ht="15" hidden="false" customHeight="false" outlineLevel="0" collapsed="false">
      <c r="A148" s="1" t="n">
        <v>3</v>
      </c>
      <c r="B148" s="1" t="s">
        <v>400</v>
      </c>
      <c r="C148" s="1" t="s">
        <v>401</v>
      </c>
      <c r="D148" s="1" t="n">
        <v>10</v>
      </c>
      <c r="E148" s="78" t="str">
        <f aca="false">IF(D148&gt;8,"2 de 30h","1 de 44h")</f>
        <v>2 de 30h</v>
      </c>
      <c r="F148" s="95"/>
      <c r="G148" s="1" t="n">
        <v>1</v>
      </c>
      <c r="H148" s="96"/>
      <c r="I148" s="96" t="n">
        <v>2</v>
      </c>
      <c r="J148" s="96"/>
      <c r="K148" s="78" t="n">
        <v>2</v>
      </c>
      <c r="L148" s="96" t="n">
        <f aca="false">ROUNDUP(K148/4,0)</f>
        <v>1</v>
      </c>
      <c r="M148" s="96" t="n">
        <f aca="false">I148+L148</f>
        <v>3</v>
      </c>
      <c r="N148" s="96" t="n">
        <f aca="false">J148</f>
        <v>0</v>
      </c>
      <c r="O148" s="1" t="s">
        <v>129</v>
      </c>
      <c r="P148" s="1" t="s">
        <v>130</v>
      </c>
      <c r="Q148" s="1" t="s">
        <v>129</v>
      </c>
      <c r="R148" s="1" t="s">
        <v>129</v>
      </c>
      <c r="S148" s="1" t="n">
        <v>11765</v>
      </c>
      <c r="T148" s="97"/>
      <c r="U148" s="97"/>
      <c r="V148" s="98" t="n">
        <v>60074</v>
      </c>
      <c r="W148" s="98"/>
      <c r="X148" s="98" t="s">
        <v>166</v>
      </c>
      <c r="Y148" s="99"/>
      <c r="Z148" s="100"/>
      <c r="AA148" s="100"/>
      <c r="AB148" s="100" t="n">
        <v>2</v>
      </c>
      <c r="AC148" s="100" t="n">
        <v>1</v>
      </c>
      <c r="AD148" s="96"/>
      <c r="AE148" s="96" t="n">
        <f aca="false">M148</f>
        <v>3</v>
      </c>
      <c r="AF148" s="96" t="n">
        <f aca="false">N148</f>
        <v>0</v>
      </c>
      <c r="AG148" s="31" t="n">
        <v>0</v>
      </c>
      <c r="AH148" s="31" t="n">
        <v>0</v>
      </c>
      <c r="AI148" s="31" t="n">
        <v>1</v>
      </c>
      <c r="AJ148" s="31" t="n">
        <v>2</v>
      </c>
      <c r="AK148" s="60" t="s">
        <v>316</v>
      </c>
      <c r="AL148" s="60" t="s">
        <v>136</v>
      </c>
      <c r="AM148" s="60" t="s">
        <v>317</v>
      </c>
      <c r="AN148" s="60" t="s">
        <v>318</v>
      </c>
    </row>
    <row r="149" customFormat="false" ht="15" hidden="false" customHeight="false" outlineLevel="0" collapsed="false">
      <c r="A149" s="1" t="n">
        <v>4</v>
      </c>
      <c r="B149" s="1" t="s">
        <v>402</v>
      </c>
      <c r="C149" s="1" t="s">
        <v>382</v>
      </c>
      <c r="D149" s="1" t="n">
        <v>10</v>
      </c>
      <c r="E149" s="78" t="str">
        <f aca="false">IF(D149&gt;8,"2 de 30h","1 de 44h")</f>
        <v>2 de 30h</v>
      </c>
      <c r="F149" s="95"/>
      <c r="G149" s="1" t="n">
        <v>1</v>
      </c>
      <c r="H149" s="60"/>
      <c r="I149" s="60" t="n">
        <v>2</v>
      </c>
      <c r="J149" s="60"/>
      <c r="K149" s="78" t="n">
        <v>3</v>
      </c>
      <c r="L149" s="60" t="n">
        <f aca="false">ROUNDUP(K149/4,0)</f>
        <v>1</v>
      </c>
      <c r="M149" s="60" t="n">
        <f aca="false">I149+L149</f>
        <v>3</v>
      </c>
      <c r="N149" s="60" t="n">
        <f aca="false">J149</f>
        <v>0</v>
      </c>
      <c r="O149" s="1" t="s">
        <v>129</v>
      </c>
      <c r="P149" s="1" t="s">
        <v>130</v>
      </c>
      <c r="Q149" s="1" t="s">
        <v>131</v>
      </c>
      <c r="R149" s="1" t="s">
        <v>131</v>
      </c>
      <c r="S149" s="1" t="n">
        <v>5689</v>
      </c>
      <c r="T149" s="97"/>
      <c r="U149" s="97"/>
      <c r="V149" s="98" t="n">
        <v>27572</v>
      </c>
      <c r="W149" s="98"/>
      <c r="X149" s="98" t="s">
        <v>239</v>
      </c>
      <c r="Y149" s="99"/>
      <c r="Z149" s="101"/>
      <c r="AA149" s="101"/>
      <c r="AB149" s="101" t="n">
        <v>2</v>
      </c>
      <c r="AC149" s="101" t="n">
        <v>1</v>
      </c>
      <c r="AD149" s="60"/>
      <c r="AE149" s="60" t="n">
        <f aca="false">M149</f>
        <v>3</v>
      </c>
      <c r="AF149" s="60" t="n">
        <f aca="false">N149</f>
        <v>0</v>
      </c>
      <c r="AG149" s="102" t="n">
        <v>0</v>
      </c>
      <c r="AH149" s="102" t="n">
        <v>0</v>
      </c>
      <c r="AI149" s="102" t="n">
        <v>1</v>
      </c>
      <c r="AJ149" s="102" t="n">
        <v>2</v>
      </c>
      <c r="AK149" s="60" t="s">
        <v>316</v>
      </c>
      <c r="AL149" s="60" t="s">
        <v>136</v>
      </c>
      <c r="AM149" s="60" t="s">
        <v>317</v>
      </c>
      <c r="AN149" s="60" t="s">
        <v>318</v>
      </c>
    </row>
    <row r="150" customFormat="false" ht="15" hidden="false" customHeight="false" outlineLevel="0" collapsed="false">
      <c r="A150" s="1" t="n">
        <v>5</v>
      </c>
      <c r="B150" s="1" t="s">
        <v>403</v>
      </c>
      <c r="C150" s="1" t="s">
        <v>382</v>
      </c>
      <c r="D150" s="1" t="n">
        <v>10</v>
      </c>
      <c r="E150" s="78" t="str">
        <f aca="false">IF(D150&gt;8,"2 de 30h","1 de 44h")</f>
        <v>2 de 30h</v>
      </c>
      <c r="F150" s="95"/>
      <c r="G150" s="1" t="n">
        <v>1</v>
      </c>
      <c r="H150" s="96"/>
      <c r="I150" s="96" t="n">
        <v>2</v>
      </c>
      <c r="J150" s="96"/>
      <c r="K150" s="78" t="n">
        <v>3</v>
      </c>
      <c r="L150" s="96" t="n">
        <f aca="false">ROUNDUP(K150/4,0)</f>
        <v>1</v>
      </c>
      <c r="M150" s="96" t="n">
        <f aca="false">I150+L150</f>
        <v>3</v>
      </c>
      <c r="N150" s="96" t="n">
        <f aca="false">J150</f>
        <v>0</v>
      </c>
      <c r="O150" s="1" t="s">
        <v>129</v>
      </c>
      <c r="P150" s="1" t="s">
        <v>130</v>
      </c>
      <c r="Q150" s="1" t="s">
        <v>129</v>
      </c>
      <c r="R150" s="1" t="s">
        <v>131</v>
      </c>
      <c r="S150" s="1" t="n">
        <v>7140</v>
      </c>
      <c r="T150" s="97"/>
      <c r="U150" s="97"/>
      <c r="V150" s="98" t="n">
        <v>20510</v>
      </c>
      <c r="W150" s="98"/>
      <c r="X150" s="98" t="s">
        <v>213</v>
      </c>
      <c r="Y150" s="99"/>
      <c r="Z150" s="100"/>
      <c r="AA150" s="100"/>
      <c r="AB150" s="100" t="n">
        <v>2</v>
      </c>
      <c r="AC150" s="100" t="n">
        <v>1</v>
      </c>
      <c r="AD150" s="96"/>
      <c r="AE150" s="96" t="n">
        <f aca="false">M150</f>
        <v>3</v>
      </c>
      <c r="AF150" s="96" t="n">
        <f aca="false">N150</f>
        <v>0</v>
      </c>
      <c r="AG150" s="31" t="n">
        <v>0</v>
      </c>
      <c r="AH150" s="31" t="n">
        <v>0</v>
      </c>
      <c r="AI150" s="31" t="n">
        <v>2</v>
      </c>
      <c r="AJ150" s="31" t="n">
        <v>2</v>
      </c>
      <c r="AK150" s="60" t="s">
        <v>404</v>
      </c>
      <c r="AL150" s="60" t="s">
        <v>136</v>
      </c>
      <c r="AM150" s="60" t="s">
        <v>317</v>
      </c>
      <c r="AN150" s="60" t="s">
        <v>318</v>
      </c>
    </row>
    <row r="151" customFormat="false" ht="15" hidden="false" customHeight="false" outlineLevel="0" collapsed="false">
      <c r="A151" s="1" t="n">
        <v>6</v>
      </c>
      <c r="B151" s="1" t="s">
        <v>405</v>
      </c>
      <c r="C151" s="1" t="s">
        <v>382</v>
      </c>
      <c r="D151" s="1" t="n">
        <v>10</v>
      </c>
      <c r="E151" s="78" t="str">
        <f aca="false">IF(D151&gt;8,"2 de 30h","1 de 44h")</f>
        <v>2 de 30h</v>
      </c>
      <c r="F151" s="95"/>
      <c r="G151" s="1" t="n">
        <v>1</v>
      </c>
      <c r="H151" s="60"/>
      <c r="I151" s="60" t="n">
        <v>2</v>
      </c>
      <c r="J151" s="60"/>
      <c r="K151" s="78" t="n">
        <v>0</v>
      </c>
      <c r="L151" s="60" t="n">
        <f aca="false">K151/4</f>
        <v>0</v>
      </c>
      <c r="M151" s="60" t="n">
        <f aca="false">I151+L151</f>
        <v>2</v>
      </c>
      <c r="N151" s="60" t="n">
        <f aca="false">J151</f>
        <v>0</v>
      </c>
      <c r="O151" s="1" t="s">
        <v>129</v>
      </c>
      <c r="P151" s="1" t="s">
        <v>130</v>
      </c>
      <c r="Q151" s="1" t="s">
        <v>129</v>
      </c>
      <c r="R151" s="1" t="s">
        <v>129</v>
      </c>
      <c r="S151" s="1" t="n">
        <v>6036</v>
      </c>
      <c r="T151" s="97"/>
      <c r="U151" s="97"/>
      <c r="V151" s="98" t="n">
        <v>30619</v>
      </c>
      <c r="W151" s="98"/>
      <c r="X151" s="98" t="s">
        <v>213</v>
      </c>
      <c r="Y151" s="99"/>
      <c r="Z151" s="101"/>
      <c r="AA151" s="101"/>
      <c r="AB151" s="101" t="n">
        <v>1</v>
      </c>
      <c r="AC151" s="101" t="n">
        <v>1</v>
      </c>
      <c r="AD151" s="60"/>
      <c r="AE151" s="60" t="n">
        <f aca="false">M151</f>
        <v>2</v>
      </c>
      <c r="AF151" s="60" t="n">
        <f aca="false">N151</f>
        <v>0</v>
      </c>
      <c r="AG151" s="102" t="n">
        <v>0</v>
      </c>
      <c r="AH151" s="102" t="n">
        <v>0</v>
      </c>
      <c r="AI151" s="102" t="n">
        <v>1</v>
      </c>
      <c r="AJ151" s="102" t="n">
        <v>1</v>
      </c>
      <c r="AK151" s="60" t="s">
        <v>404</v>
      </c>
      <c r="AL151" s="60" t="s">
        <v>136</v>
      </c>
      <c r="AM151" s="60" t="s">
        <v>317</v>
      </c>
      <c r="AN151" s="60" t="s">
        <v>318</v>
      </c>
    </row>
    <row r="152" customFormat="false" ht="15" hidden="false" customHeight="false" outlineLevel="0" collapsed="false">
      <c r="A152" s="1" t="n">
        <v>7</v>
      </c>
      <c r="B152" s="1" t="s">
        <v>406</v>
      </c>
      <c r="C152" s="1" t="s">
        <v>382</v>
      </c>
      <c r="D152" s="1" t="n">
        <v>10</v>
      </c>
      <c r="E152" s="78" t="str">
        <f aca="false">IF(D152&gt;8,"2 de 30h","1 de 44h")</f>
        <v>2 de 30h</v>
      </c>
      <c r="F152" s="95"/>
      <c r="G152" s="1" t="n">
        <v>1</v>
      </c>
      <c r="H152" s="96"/>
      <c r="I152" s="96" t="n">
        <v>2</v>
      </c>
      <c r="J152" s="96"/>
      <c r="K152" s="78" t="n">
        <v>5</v>
      </c>
      <c r="L152" s="96" t="n">
        <f aca="false">ROUNDUP(K152/4,0)</f>
        <v>2</v>
      </c>
      <c r="M152" s="96" t="n">
        <f aca="false">I152+L152</f>
        <v>4</v>
      </c>
      <c r="N152" s="96" t="n">
        <f aca="false">J152</f>
        <v>0</v>
      </c>
      <c r="O152" s="1" t="s">
        <v>129</v>
      </c>
      <c r="P152" s="1" t="s">
        <v>130</v>
      </c>
      <c r="Q152" s="1" t="s">
        <v>129</v>
      </c>
      <c r="R152" s="1" t="s">
        <v>131</v>
      </c>
      <c r="S152" s="1" t="n">
        <v>26474</v>
      </c>
      <c r="T152" s="97"/>
      <c r="U152" s="97"/>
      <c r="V152" s="98" t="n">
        <v>71445</v>
      </c>
      <c r="W152" s="98"/>
      <c r="X152" s="98" t="s">
        <v>226</v>
      </c>
      <c r="Y152" s="99"/>
      <c r="Z152" s="100"/>
      <c r="AA152" s="100"/>
      <c r="AB152" s="100" t="n">
        <v>3</v>
      </c>
      <c r="AC152" s="100" t="n">
        <v>1</v>
      </c>
      <c r="AD152" s="96"/>
      <c r="AE152" s="96" t="n">
        <f aca="false">M152</f>
        <v>4</v>
      </c>
      <c r="AF152" s="96" t="n">
        <f aca="false">N152</f>
        <v>0</v>
      </c>
      <c r="AG152" s="31" t="n">
        <v>0</v>
      </c>
      <c r="AH152" s="31" t="n">
        <v>0</v>
      </c>
      <c r="AI152" s="31" t="n">
        <v>3</v>
      </c>
      <c r="AJ152" s="31" t="n">
        <v>2</v>
      </c>
      <c r="AK152" s="60" t="s">
        <v>316</v>
      </c>
      <c r="AL152" s="60" t="s">
        <v>136</v>
      </c>
      <c r="AM152" s="60" t="s">
        <v>317</v>
      </c>
      <c r="AN152" s="60" t="s">
        <v>318</v>
      </c>
    </row>
    <row r="153" customFormat="false" ht="15" hidden="false" customHeight="false" outlineLevel="0" collapsed="false">
      <c r="A153" s="1" t="n">
        <v>8</v>
      </c>
      <c r="B153" s="1" t="s">
        <v>407</v>
      </c>
      <c r="C153" s="1" t="s">
        <v>382</v>
      </c>
      <c r="D153" s="1" t="n">
        <v>10</v>
      </c>
      <c r="E153" s="78" t="str">
        <f aca="false">IF(D153&gt;8,"2 de 30h","1 de 44h")</f>
        <v>2 de 30h</v>
      </c>
      <c r="F153" s="95"/>
      <c r="G153" s="1" t="n">
        <v>1</v>
      </c>
      <c r="H153" s="60"/>
      <c r="I153" s="60" t="n">
        <v>2</v>
      </c>
      <c r="J153" s="60"/>
      <c r="K153" s="78" t="n">
        <v>5</v>
      </c>
      <c r="L153" s="60" t="n">
        <f aca="false">ROUNDUP(K153/4,0)</f>
        <v>2</v>
      </c>
      <c r="M153" s="60" t="n">
        <f aca="false">I153+L153</f>
        <v>4</v>
      </c>
      <c r="N153" s="60" t="n">
        <f aca="false">J153</f>
        <v>0</v>
      </c>
      <c r="O153" s="1" t="s">
        <v>129</v>
      </c>
      <c r="P153" s="1" t="s">
        <v>130</v>
      </c>
      <c r="Q153" s="1" t="s">
        <v>131</v>
      </c>
      <c r="R153" s="1" t="s">
        <v>129</v>
      </c>
      <c r="S153" s="1" t="n">
        <v>11856</v>
      </c>
      <c r="T153" s="97"/>
      <c r="U153" s="97"/>
      <c r="V153" s="98" t="n">
        <v>59415</v>
      </c>
      <c r="W153" s="98"/>
      <c r="X153" s="98" t="s">
        <v>266</v>
      </c>
      <c r="Y153" s="99"/>
      <c r="Z153" s="101"/>
      <c r="AA153" s="101"/>
      <c r="AB153" s="101" t="n">
        <v>2</v>
      </c>
      <c r="AC153" s="101" t="n">
        <v>1</v>
      </c>
      <c r="AD153" s="60"/>
      <c r="AE153" s="60" t="n">
        <f aca="false">M153</f>
        <v>4</v>
      </c>
      <c r="AF153" s="60" t="n">
        <f aca="false">N153</f>
        <v>0</v>
      </c>
      <c r="AG153" s="102" t="n">
        <v>0</v>
      </c>
      <c r="AH153" s="102" t="n">
        <v>0</v>
      </c>
      <c r="AI153" s="102" t="n">
        <v>2</v>
      </c>
      <c r="AJ153" s="102" t="n">
        <v>2</v>
      </c>
      <c r="AK153" s="60" t="s">
        <v>316</v>
      </c>
      <c r="AL153" s="60" t="s">
        <v>136</v>
      </c>
      <c r="AM153" s="60" t="s">
        <v>317</v>
      </c>
      <c r="AN153" s="60" t="s">
        <v>318</v>
      </c>
    </row>
    <row r="154" customFormat="false" ht="15" hidden="false" customHeight="false" outlineLevel="0" collapsed="false">
      <c r="A154" s="1" t="n">
        <v>9</v>
      </c>
      <c r="B154" s="1" t="s">
        <v>408</v>
      </c>
      <c r="C154" s="1" t="s">
        <v>382</v>
      </c>
      <c r="D154" s="1" t="n">
        <v>10</v>
      </c>
      <c r="E154" s="78" t="str">
        <f aca="false">IF(D154&gt;8,"2 de 30h","1 de 44h")</f>
        <v>2 de 30h</v>
      </c>
      <c r="F154" s="95"/>
      <c r="G154" s="1" t="n">
        <v>1</v>
      </c>
      <c r="H154" s="96"/>
      <c r="I154" s="96" t="n">
        <v>2</v>
      </c>
      <c r="J154" s="96"/>
      <c r="K154" s="78" t="n">
        <v>7</v>
      </c>
      <c r="L154" s="96" t="n">
        <f aca="false">ROUNDUP(K154/4,0)</f>
        <v>2</v>
      </c>
      <c r="M154" s="96" t="n">
        <f aca="false">I154+L154</f>
        <v>4</v>
      </c>
      <c r="N154" s="96" t="n">
        <f aca="false">J154</f>
        <v>0</v>
      </c>
      <c r="O154" s="1" t="s">
        <v>129</v>
      </c>
      <c r="P154" s="1" t="s">
        <v>185</v>
      </c>
      <c r="Q154" s="1" t="s">
        <v>131</v>
      </c>
      <c r="R154" s="1" t="s">
        <v>131</v>
      </c>
      <c r="S154" s="1" t="n">
        <v>37978</v>
      </c>
      <c r="T154" s="97"/>
      <c r="U154" s="97"/>
      <c r="V154" s="98"/>
      <c r="W154" s="98"/>
      <c r="X154" s="98"/>
      <c r="Y154" s="99"/>
      <c r="Z154" s="100"/>
      <c r="AA154" s="100"/>
      <c r="AB154" s="100" t="n">
        <v>3</v>
      </c>
      <c r="AC154" s="100" t="n">
        <v>1</v>
      </c>
      <c r="AD154" s="96"/>
      <c r="AE154" s="96" t="n">
        <f aca="false">M154</f>
        <v>4</v>
      </c>
      <c r="AF154" s="96" t="n">
        <f aca="false">N154</f>
        <v>0</v>
      </c>
      <c r="AG154" s="31" t="n">
        <v>0</v>
      </c>
      <c r="AH154" s="31" t="n">
        <v>0</v>
      </c>
      <c r="AI154" s="31" t="n">
        <v>3</v>
      </c>
      <c r="AJ154" s="31" t="n">
        <v>2</v>
      </c>
      <c r="AK154" s="60" t="s">
        <v>316</v>
      </c>
      <c r="AL154" s="60" t="s">
        <v>136</v>
      </c>
      <c r="AM154" s="60" t="s">
        <v>317</v>
      </c>
      <c r="AN154" s="60" t="s">
        <v>318</v>
      </c>
    </row>
    <row r="155" customFormat="false" ht="15" hidden="false" customHeight="false" outlineLevel="0" collapsed="false">
      <c r="A155" s="1" t="n">
        <v>10</v>
      </c>
      <c r="B155" s="1" t="s">
        <v>409</v>
      </c>
      <c r="C155" s="1" t="s">
        <v>382</v>
      </c>
      <c r="D155" s="1" t="n">
        <v>10</v>
      </c>
      <c r="E155" s="78" t="str">
        <f aca="false">IF(D155&gt;8,"2 de 30h","1 de 44h")</f>
        <v>2 de 30h</v>
      </c>
      <c r="F155" s="95"/>
      <c r="G155" s="1" t="n">
        <v>1</v>
      </c>
      <c r="H155" s="60"/>
      <c r="I155" s="60" t="n">
        <v>2</v>
      </c>
      <c r="J155" s="60"/>
      <c r="K155" s="78" t="n">
        <v>8</v>
      </c>
      <c r="L155" s="60" t="n">
        <f aca="false">K155/4</f>
        <v>2</v>
      </c>
      <c r="M155" s="60" t="n">
        <f aca="false">I155+L155</f>
        <v>4</v>
      </c>
      <c r="N155" s="60" t="n">
        <f aca="false">J155</f>
        <v>0</v>
      </c>
      <c r="O155" s="1" t="s">
        <v>129</v>
      </c>
      <c r="P155" s="1" t="s">
        <v>130</v>
      </c>
      <c r="Q155" s="1" t="s">
        <v>129</v>
      </c>
      <c r="R155" s="1" t="s">
        <v>131</v>
      </c>
      <c r="S155" s="1" t="n">
        <v>34472</v>
      </c>
      <c r="T155" s="97"/>
      <c r="U155" s="97"/>
      <c r="V155" s="98" t="n">
        <v>214087</v>
      </c>
      <c r="W155" s="98" t="s">
        <v>410</v>
      </c>
      <c r="X155" s="98" t="s">
        <v>251</v>
      </c>
      <c r="Y155" s="99" t="s">
        <v>132</v>
      </c>
      <c r="Z155" s="101"/>
      <c r="AA155" s="101"/>
      <c r="AB155" s="101" t="n">
        <v>4</v>
      </c>
      <c r="AC155" s="101" t="n">
        <v>1</v>
      </c>
      <c r="AD155" s="60"/>
      <c r="AE155" s="60" t="n">
        <f aca="false">M155</f>
        <v>4</v>
      </c>
      <c r="AF155" s="60" t="n">
        <f aca="false">N155</f>
        <v>0</v>
      </c>
      <c r="AG155" s="102" t="n">
        <v>0</v>
      </c>
      <c r="AH155" s="102" t="n">
        <v>0</v>
      </c>
      <c r="AI155" s="102" t="n">
        <v>4</v>
      </c>
      <c r="AJ155" s="102" t="n">
        <v>2</v>
      </c>
      <c r="AK155" s="60" t="s">
        <v>316</v>
      </c>
      <c r="AL155" s="60" t="s">
        <v>136</v>
      </c>
      <c r="AM155" s="60" t="s">
        <v>317</v>
      </c>
      <c r="AN155" s="60" t="s">
        <v>318</v>
      </c>
    </row>
    <row r="156" customFormat="false" ht="15" hidden="false" customHeight="false" outlineLevel="0" collapsed="false">
      <c r="A156" s="1" t="n">
        <v>11</v>
      </c>
      <c r="B156" s="1" t="s">
        <v>411</v>
      </c>
      <c r="C156" s="1" t="s">
        <v>382</v>
      </c>
      <c r="D156" s="1" t="n">
        <v>10</v>
      </c>
      <c r="E156" s="78" t="str">
        <f aca="false">IF(D156&gt;8,"2 de 30h","1 de 44h")</f>
        <v>2 de 30h</v>
      </c>
      <c r="F156" s="95"/>
      <c r="G156" s="1" t="n">
        <v>1</v>
      </c>
      <c r="H156" s="96"/>
      <c r="I156" s="96" t="n">
        <v>2</v>
      </c>
      <c r="J156" s="96"/>
      <c r="K156" s="78" t="n">
        <v>3</v>
      </c>
      <c r="L156" s="96" t="n">
        <f aca="false">ROUNDUP(K156/4,0)</f>
        <v>1</v>
      </c>
      <c r="M156" s="96" t="n">
        <f aca="false">I156+L156</f>
        <v>3</v>
      </c>
      <c r="N156" s="96" t="n">
        <f aca="false">J156</f>
        <v>0</v>
      </c>
      <c r="O156" s="1" t="s">
        <v>129</v>
      </c>
      <c r="P156" s="1" t="s">
        <v>130</v>
      </c>
      <c r="Q156" s="1" t="s">
        <v>129</v>
      </c>
      <c r="R156" s="1" t="s">
        <v>129</v>
      </c>
      <c r="S156" s="1" t="n">
        <v>6075</v>
      </c>
      <c r="T156" s="97"/>
      <c r="U156" s="97"/>
      <c r="V156" s="98" t="n">
        <v>21932</v>
      </c>
      <c r="W156" s="98"/>
      <c r="X156" s="98" t="s">
        <v>251</v>
      </c>
      <c r="Y156" s="99"/>
      <c r="Z156" s="100"/>
      <c r="AA156" s="100"/>
      <c r="AB156" s="100" t="n">
        <v>1</v>
      </c>
      <c r="AC156" s="100" t="n">
        <v>1</v>
      </c>
      <c r="AD156" s="96"/>
      <c r="AE156" s="96" t="n">
        <f aca="false">M156</f>
        <v>3</v>
      </c>
      <c r="AF156" s="96" t="n">
        <f aca="false">N156</f>
        <v>0</v>
      </c>
      <c r="AG156" s="31" t="n">
        <v>0</v>
      </c>
      <c r="AH156" s="31" t="n">
        <v>0</v>
      </c>
      <c r="AI156" s="31" t="n">
        <v>2</v>
      </c>
      <c r="AJ156" s="31" t="n">
        <v>1</v>
      </c>
      <c r="AK156" s="60" t="s">
        <v>316</v>
      </c>
      <c r="AL156" s="60" t="s">
        <v>136</v>
      </c>
      <c r="AM156" s="60" t="s">
        <v>317</v>
      </c>
      <c r="AN156" s="60" t="s">
        <v>318</v>
      </c>
    </row>
    <row r="157" customFormat="false" ht="15" hidden="false" customHeight="false" outlineLevel="0" collapsed="false">
      <c r="A157" s="1" t="n">
        <v>12</v>
      </c>
      <c r="B157" s="1" t="s">
        <v>412</v>
      </c>
      <c r="C157" s="1" t="s">
        <v>382</v>
      </c>
      <c r="D157" s="1" t="n">
        <v>10</v>
      </c>
      <c r="E157" s="78" t="str">
        <f aca="false">IF(D157&gt;8,"2 de 30h","1 de 44h")</f>
        <v>2 de 30h</v>
      </c>
      <c r="F157" s="95"/>
      <c r="G157" s="1" t="n">
        <v>1</v>
      </c>
      <c r="H157" s="60"/>
      <c r="I157" s="60" t="n">
        <v>2</v>
      </c>
      <c r="J157" s="60"/>
      <c r="K157" s="78" t="n">
        <v>4</v>
      </c>
      <c r="L157" s="60" t="n">
        <f aca="false">K157/4</f>
        <v>1</v>
      </c>
      <c r="M157" s="60" t="n">
        <f aca="false">I157+L157</f>
        <v>3</v>
      </c>
      <c r="N157" s="60" t="n">
        <f aca="false">J157</f>
        <v>0</v>
      </c>
      <c r="O157" s="1" t="s">
        <v>129</v>
      </c>
      <c r="P157" s="1" t="s">
        <v>130</v>
      </c>
      <c r="Q157" s="1" t="s">
        <v>129</v>
      </c>
      <c r="R157" s="1" t="s">
        <v>129</v>
      </c>
      <c r="S157" s="1" t="n">
        <v>10900</v>
      </c>
      <c r="T157" s="97"/>
      <c r="U157" s="97"/>
      <c r="V157" s="98" t="n">
        <v>74985</v>
      </c>
      <c r="W157" s="98"/>
      <c r="X157" s="98" t="s">
        <v>413</v>
      </c>
      <c r="Y157" s="99"/>
      <c r="Z157" s="101"/>
      <c r="AA157" s="101"/>
      <c r="AB157" s="101" t="n">
        <v>3</v>
      </c>
      <c r="AC157" s="101" t="n">
        <v>1</v>
      </c>
      <c r="AD157" s="60"/>
      <c r="AE157" s="60" t="n">
        <f aca="false">M157</f>
        <v>3</v>
      </c>
      <c r="AF157" s="60" t="n">
        <f aca="false">N157</f>
        <v>0</v>
      </c>
      <c r="AG157" s="102" t="n">
        <v>0</v>
      </c>
      <c r="AH157" s="102" t="n">
        <v>0</v>
      </c>
      <c r="AI157" s="102" t="n">
        <v>2</v>
      </c>
      <c r="AJ157" s="102" t="n">
        <v>1</v>
      </c>
      <c r="AK157" s="60" t="s">
        <v>316</v>
      </c>
      <c r="AL157" s="60" t="s">
        <v>136</v>
      </c>
      <c r="AM157" s="60" t="s">
        <v>317</v>
      </c>
      <c r="AN157" s="60" t="s">
        <v>318</v>
      </c>
    </row>
    <row r="158" customFormat="false" ht="15" hidden="false" customHeight="false" outlineLevel="0" collapsed="false">
      <c r="A158" s="1" t="n">
        <v>13</v>
      </c>
      <c r="B158" s="1" t="s">
        <v>414</v>
      </c>
      <c r="C158" s="1" t="s">
        <v>382</v>
      </c>
      <c r="D158" s="1" t="n">
        <v>10</v>
      </c>
      <c r="E158" s="78" t="str">
        <f aca="false">IF(D158&gt;8,"2 de 30h","1 de 44h")</f>
        <v>2 de 30h</v>
      </c>
      <c r="F158" s="95"/>
      <c r="G158" s="1" t="n">
        <v>1</v>
      </c>
      <c r="H158" s="96"/>
      <c r="I158" s="96" t="n">
        <v>2</v>
      </c>
      <c r="J158" s="96"/>
      <c r="K158" s="78" t="n">
        <v>6</v>
      </c>
      <c r="L158" s="96" t="n">
        <f aca="false">ROUNDUP(K158/4,0)</f>
        <v>2</v>
      </c>
      <c r="M158" s="96" t="n">
        <f aca="false">I158+L158</f>
        <v>4</v>
      </c>
      <c r="N158" s="96" t="n">
        <f aca="false">J158</f>
        <v>0</v>
      </c>
      <c r="O158" s="1" t="s">
        <v>129</v>
      </c>
      <c r="P158" s="1" t="s">
        <v>130</v>
      </c>
      <c r="Q158" s="1" t="s">
        <v>129</v>
      </c>
      <c r="R158" s="1" t="s">
        <v>131</v>
      </c>
      <c r="S158" s="1" t="n">
        <v>16442</v>
      </c>
      <c r="T158" s="97"/>
      <c r="U158" s="97"/>
      <c r="V158" s="98" t="n">
        <v>54643</v>
      </c>
      <c r="W158" s="98"/>
      <c r="X158" s="98" t="s">
        <v>254</v>
      </c>
      <c r="Y158" s="99"/>
      <c r="Z158" s="100"/>
      <c r="AA158" s="100"/>
      <c r="AB158" s="100" t="n">
        <v>3</v>
      </c>
      <c r="AC158" s="100" t="n">
        <v>1</v>
      </c>
      <c r="AD158" s="96"/>
      <c r="AE158" s="96" t="n">
        <f aca="false">M158</f>
        <v>4</v>
      </c>
      <c r="AF158" s="96" t="n">
        <f aca="false">N158</f>
        <v>0</v>
      </c>
      <c r="AG158" s="31" t="n">
        <v>0</v>
      </c>
      <c r="AH158" s="31" t="n">
        <v>0</v>
      </c>
      <c r="AI158" s="31" t="n">
        <v>3</v>
      </c>
      <c r="AJ158" s="31" t="n">
        <v>2</v>
      </c>
      <c r="AK158" s="60" t="s">
        <v>316</v>
      </c>
      <c r="AL158" s="60" t="s">
        <v>136</v>
      </c>
      <c r="AM158" s="60" t="s">
        <v>317</v>
      </c>
      <c r="AN158" s="60" t="s">
        <v>318</v>
      </c>
    </row>
    <row r="159" customFormat="false" ht="15" hidden="false" customHeight="false" outlineLevel="0" collapsed="false">
      <c r="A159" s="1" t="n">
        <v>14</v>
      </c>
      <c r="B159" s="1" t="s">
        <v>415</v>
      </c>
      <c r="C159" s="1" t="s">
        <v>392</v>
      </c>
      <c r="D159" s="1" t="n">
        <v>6</v>
      </c>
      <c r="E159" s="78" t="str">
        <f aca="false">IF(D159&gt;8,"2 de 30h","1 de 44h")</f>
        <v>1 de 44h</v>
      </c>
      <c r="F159" s="95"/>
      <c r="G159" s="1" t="n">
        <v>1</v>
      </c>
      <c r="H159" s="60"/>
      <c r="I159" s="60"/>
      <c r="J159" s="60" t="n">
        <v>1</v>
      </c>
      <c r="K159" s="78" t="n">
        <v>2</v>
      </c>
      <c r="L159" s="60" t="n">
        <f aca="false">ROUNDUP(K159/4,0)</f>
        <v>1</v>
      </c>
      <c r="M159" s="60" t="n">
        <f aca="false">I159+L159</f>
        <v>1</v>
      </c>
      <c r="N159" s="60" t="n">
        <f aca="false">J159</f>
        <v>1</v>
      </c>
      <c r="O159" s="1" t="s">
        <v>129</v>
      </c>
      <c r="P159" s="1" t="s">
        <v>130</v>
      </c>
      <c r="Q159" s="1" t="s">
        <v>129</v>
      </c>
      <c r="R159" s="1" t="s">
        <v>129</v>
      </c>
      <c r="S159" s="1" t="n">
        <v>6596</v>
      </c>
      <c r="T159" s="97"/>
      <c r="U159" s="97"/>
      <c r="V159" s="98" t="n">
        <v>26092</v>
      </c>
      <c r="W159" s="98"/>
      <c r="X159" s="98" t="s">
        <v>161</v>
      </c>
      <c r="Y159" s="99"/>
      <c r="Z159" s="101"/>
      <c r="AA159" s="101"/>
      <c r="AB159" s="101" t="n">
        <v>2</v>
      </c>
      <c r="AC159" s="101" t="n">
        <v>0</v>
      </c>
      <c r="AD159" s="60"/>
      <c r="AE159" s="60" t="n">
        <f aca="false">M159</f>
        <v>1</v>
      </c>
      <c r="AF159" s="60" t="n">
        <f aca="false">N159</f>
        <v>1</v>
      </c>
      <c r="AG159" s="102" t="n">
        <v>0</v>
      </c>
      <c r="AH159" s="102" t="n">
        <v>0</v>
      </c>
      <c r="AI159" s="102" t="n">
        <v>2</v>
      </c>
      <c r="AJ159" s="102" t="n">
        <v>0</v>
      </c>
      <c r="AK159" s="60" t="s">
        <v>316</v>
      </c>
      <c r="AL159" s="60" t="s">
        <v>136</v>
      </c>
      <c r="AM159" s="60" t="s">
        <v>317</v>
      </c>
      <c r="AN159" s="60" t="s">
        <v>318</v>
      </c>
    </row>
    <row r="160" customFormat="false" ht="15" hidden="false" customHeight="false" outlineLevel="0" collapsed="false">
      <c r="A160" s="1" t="n">
        <v>15</v>
      </c>
      <c r="B160" s="1" t="s">
        <v>416</v>
      </c>
      <c r="C160" s="1" t="s">
        <v>392</v>
      </c>
      <c r="D160" s="1" t="n">
        <v>6</v>
      </c>
      <c r="E160" s="78" t="str">
        <f aca="false">IF(D160&gt;8,"2 de 30h","1 de 44h")</f>
        <v>1 de 44h</v>
      </c>
      <c r="F160" s="95"/>
      <c r="G160" s="1" t="n">
        <v>1</v>
      </c>
      <c r="H160" s="96"/>
      <c r="I160" s="96"/>
      <c r="J160" s="96" t="n">
        <v>1</v>
      </c>
      <c r="K160" s="78" t="n">
        <v>2</v>
      </c>
      <c r="L160" s="96" t="n">
        <f aca="false">ROUNDUP(K160/4,0)</f>
        <v>1</v>
      </c>
      <c r="M160" s="96" t="n">
        <f aca="false">I160+L160</f>
        <v>1</v>
      </c>
      <c r="N160" s="96" t="n">
        <f aca="false">J160</f>
        <v>1</v>
      </c>
      <c r="O160" s="1" t="s">
        <v>129</v>
      </c>
      <c r="P160" s="1" t="s">
        <v>130</v>
      </c>
      <c r="Q160" s="1" t="s">
        <v>129</v>
      </c>
      <c r="R160" s="1" t="s">
        <v>129</v>
      </c>
      <c r="S160" s="1" t="n">
        <v>7505</v>
      </c>
      <c r="T160" s="97"/>
      <c r="U160" s="97"/>
      <c r="V160" s="98" t="n">
        <v>27272</v>
      </c>
      <c r="W160" s="98"/>
      <c r="X160" s="98" t="s">
        <v>279</v>
      </c>
      <c r="Y160" s="99"/>
      <c r="Z160" s="100"/>
      <c r="AA160" s="100"/>
      <c r="AB160" s="100" t="n">
        <v>2</v>
      </c>
      <c r="AC160" s="100" t="n">
        <v>0</v>
      </c>
      <c r="AD160" s="96"/>
      <c r="AE160" s="96" t="n">
        <f aca="false">M160</f>
        <v>1</v>
      </c>
      <c r="AF160" s="96" t="n">
        <f aca="false">N160</f>
        <v>1</v>
      </c>
      <c r="AG160" s="31" t="n">
        <v>0</v>
      </c>
      <c r="AH160" s="31" t="n">
        <v>0</v>
      </c>
      <c r="AI160" s="31" t="n">
        <v>2</v>
      </c>
      <c r="AJ160" s="31" t="n">
        <v>1</v>
      </c>
      <c r="AK160" s="60" t="s">
        <v>316</v>
      </c>
      <c r="AL160" s="60" t="s">
        <v>136</v>
      </c>
      <c r="AM160" s="60" t="s">
        <v>317</v>
      </c>
      <c r="AN160" s="60" t="s">
        <v>318</v>
      </c>
    </row>
    <row r="161" customFormat="false" ht="15" hidden="false" customHeight="false" outlineLevel="0" collapsed="false">
      <c r="A161" s="1" t="n">
        <v>16</v>
      </c>
      <c r="B161" s="1" t="s">
        <v>417</v>
      </c>
      <c r="C161" s="1" t="s">
        <v>392</v>
      </c>
      <c r="D161" s="1" t="n">
        <v>6</v>
      </c>
      <c r="E161" s="78" t="str">
        <f aca="false">IF(D161&gt;8,"2 de 30h","1 de 44h")</f>
        <v>1 de 44h</v>
      </c>
      <c r="F161" s="95"/>
      <c r="G161" s="1" t="n">
        <v>1</v>
      </c>
      <c r="H161" s="60"/>
      <c r="I161" s="60"/>
      <c r="J161" s="60" t="n">
        <v>1</v>
      </c>
      <c r="K161" s="78" t="n">
        <v>2</v>
      </c>
      <c r="L161" s="60" t="n">
        <f aca="false">ROUNDUP(K161/4,0)</f>
        <v>1</v>
      </c>
      <c r="M161" s="60" t="n">
        <f aca="false">I161+L161</f>
        <v>1</v>
      </c>
      <c r="N161" s="60" t="n">
        <f aca="false">J161</f>
        <v>1</v>
      </c>
      <c r="O161" s="1" t="s">
        <v>129</v>
      </c>
      <c r="P161" s="1" t="s">
        <v>130</v>
      </c>
      <c r="Q161" s="1" t="s">
        <v>129</v>
      </c>
      <c r="R161" s="1" t="s">
        <v>129</v>
      </c>
      <c r="S161" s="1" t="n">
        <v>4557</v>
      </c>
      <c r="T161" s="97"/>
      <c r="U161" s="97"/>
      <c r="V161" s="98" t="n">
        <v>30920</v>
      </c>
      <c r="W161" s="98"/>
      <c r="X161" s="98" t="s">
        <v>418</v>
      </c>
      <c r="Y161" s="99"/>
      <c r="Z161" s="101"/>
      <c r="AA161" s="101"/>
      <c r="AB161" s="101" t="n">
        <v>0</v>
      </c>
      <c r="AC161" s="101" t="n">
        <v>1</v>
      </c>
      <c r="AD161" s="60"/>
      <c r="AE161" s="60" t="n">
        <f aca="false">M161</f>
        <v>1</v>
      </c>
      <c r="AF161" s="60" t="n">
        <f aca="false">N161</f>
        <v>1</v>
      </c>
      <c r="AG161" s="102" t="n">
        <v>0</v>
      </c>
      <c r="AH161" s="102" t="n">
        <v>0</v>
      </c>
      <c r="AI161" s="102" t="n">
        <v>0</v>
      </c>
      <c r="AJ161" s="102" t="n">
        <v>1</v>
      </c>
      <c r="AK161" s="60" t="s">
        <v>316</v>
      </c>
      <c r="AL161" s="60" t="s">
        <v>136</v>
      </c>
      <c r="AM161" s="60" t="s">
        <v>317</v>
      </c>
      <c r="AN161" s="60" t="s">
        <v>318</v>
      </c>
    </row>
    <row r="162" customFormat="false" ht="15" hidden="false" customHeight="false" outlineLevel="0" collapsed="false">
      <c r="A162" s="1" t="n">
        <v>17</v>
      </c>
      <c r="B162" s="1" t="s">
        <v>419</v>
      </c>
      <c r="C162" s="1" t="s">
        <v>392</v>
      </c>
      <c r="D162" s="1" t="n">
        <v>6</v>
      </c>
      <c r="E162" s="78" t="str">
        <f aca="false">IF(D162&gt;8,"2 de 30h","1 de 44h")</f>
        <v>1 de 44h</v>
      </c>
      <c r="F162" s="95"/>
      <c r="G162" s="1" t="n">
        <v>1</v>
      </c>
      <c r="H162" s="96"/>
      <c r="I162" s="96"/>
      <c r="J162" s="96" t="n">
        <v>1</v>
      </c>
      <c r="K162" s="78" t="n">
        <v>0</v>
      </c>
      <c r="L162" s="96" t="n">
        <f aca="false">K162/4</f>
        <v>0</v>
      </c>
      <c r="M162" s="96" t="n">
        <f aca="false">I162+L162</f>
        <v>0</v>
      </c>
      <c r="N162" s="96" t="n">
        <f aca="false">J162</f>
        <v>1</v>
      </c>
      <c r="O162" s="1" t="s">
        <v>129</v>
      </c>
      <c r="P162" s="1" t="s">
        <v>130</v>
      </c>
      <c r="Q162" s="1" t="s">
        <v>129</v>
      </c>
      <c r="R162" s="1" t="s">
        <v>129</v>
      </c>
      <c r="S162" s="1" t="n">
        <v>1727</v>
      </c>
      <c r="T162" s="97"/>
      <c r="U162" s="97"/>
      <c r="V162" s="98" t="n">
        <v>31660</v>
      </c>
      <c r="W162" s="98"/>
      <c r="X162" s="98" t="s">
        <v>244</v>
      </c>
      <c r="Y162" s="99"/>
      <c r="Z162" s="100"/>
      <c r="AA162" s="100"/>
      <c r="AB162" s="100" t="n">
        <v>0</v>
      </c>
      <c r="AC162" s="100" t="n">
        <v>1</v>
      </c>
      <c r="AD162" s="96"/>
      <c r="AE162" s="96" t="n">
        <f aca="false">M162</f>
        <v>0</v>
      </c>
      <c r="AF162" s="96" t="n">
        <f aca="false">N162</f>
        <v>1</v>
      </c>
      <c r="AG162" s="31" t="n">
        <v>0</v>
      </c>
      <c r="AH162" s="31" t="n">
        <v>0</v>
      </c>
      <c r="AI162" s="31" t="n">
        <v>0</v>
      </c>
      <c r="AJ162" s="31" t="n">
        <v>1</v>
      </c>
      <c r="AK162" s="60" t="s">
        <v>316</v>
      </c>
      <c r="AL162" s="60" t="s">
        <v>136</v>
      </c>
      <c r="AM162" s="60" t="s">
        <v>317</v>
      </c>
      <c r="AN162" s="60" t="s">
        <v>318</v>
      </c>
    </row>
    <row r="163" customFormat="false" ht="15" hidden="false" customHeight="false" outlineLevel="0" collapsed="false">
      <c r="A163" s="1" t="n">
        <v>18</v>
      </c>
      <c r="B163" s="1" t="s">
        <v>420</v>
      </c>
      <c r="C163" s="1" t="s">
        <v>392</v>
      </c>
      <c r="D163" s="1" t="n">
        <v>6</v>
      </c>
      <c r="E163" s="78" t="str">
        <f aca="false">IF(D163&gt;8,"2 de 30h","1 de 44h")</f>
        <v>1 de 44h</v>
      </c>
      <c r="F163" s="95"/>
      <c r="G163" s="1" t="n">
        <v>1</v>
      </c>
      <c r="H163" s="60"/>
      <c r="I163" s="60"/>
      <c r="J163" s="60" t="n">
        <v>1</v>
      </c>
      <c r="K163" s="78" t="n">
        <v>0</v>
      </c>
      <c r="L163" s="60" t="n">
        <f aca="false">K163/4</f>
        <v>0</v>
      </c>
      <c r="M163" s="60" t="n">
        <f aca="false">I163+L163</f>
        <v>0</v>
      </c>
      <c r="N163" s="60" t="n">
        <f aca="false">J163</f>
        <v>1</v>
      </c>
      <c r="O163" s="1" t="s">
        <v>129</v>
      </c>
      <c r="P163" s="1" t="s">
        <v>130</v>
      </c>
      <c r="Q163" s="1" t="s">
        <v>129</v>
      </c>
      <c r="R163" s="1" t="s">
        <v>129</v>
      </c>
      <c r="S163" s="1" t="n">
        <v>1819</v>
      </c>
      <c r="T163" s="97"/>
      <c r="U163" s="97"/>
      <c r="V163" s="98" t="n">
        <v>23848</v>
      </c>
      <c r="W163" s="98"/>
      <c r="X163" s="98" t="s">
        <v>301</v>
      </c>
      <c r="Y163" s="99"/>
      <c r="Z163" s="101"/>
      <c r="AA163" s="101"/>
      <c r="AB163" s="101" t="n">
        <v>0</v>
      </c>
      <c r="AC163" s="101" t="n">
        <v>1</v>
      </c>
      <c r="AD163" s="60"/>
      <c r="AE163" s="60" t="n">
        <f aca="false">M163</f>
        <v>0</v>
      </c>
      <c r="AF163" s="60" t="n">
        <f aca="false">N163</f>
        <v>1</v>
      </c>
      <c r="AG163" s="102" t="n">
        <v>0</v>
      </c>
      <c r="AH163" s="102" t="n">
        <v>0</v>
      </c>
      <c r="AI163" s="102" t="n">
        <v>0</v>
      </c>
      <c r="AJ163" s="102" t="n">
        <v>1</v>
      </c>
      <c r="AK163" s="60" t="s">
        <v>316</v>
      </c>
      <c r="AL163" s="60" t="s">
        <v>136</v>
      </c>
      <c r="AM163" s="60" t="s">
        <v>317</v>
      </c>
      <c r="AN163" s="60" t="s">
        <v>318</v>
      </c>
    </row>
    <row r="164" customFormat="false" ht="9" hidden="false" customHeight="true" outlineLevel="0" collapsed="false">
      <c r="A164" s="106"/>
      <c r="B164" s="106"/>
      <c r="C164" s="106"/>
      <c r="D164" s="106"/>
      <c r="E164" s="107"/>
      <c r="F164" s="107"/>
      <c r="G164" s="106"/>
      <c r="H164" s="108"/>
      <c r="I164" s="108"/>
      <c r="J164" s="108"/>
      <c r="K164" s="107"/>
      <c r="L164" s="108"/>
      <c r="M164" s="108"/>
      <c r="N164" s="108"/>
      <c r="O164" s="106"/>
      <c r="P164" s="106"/>
      <c r="Q164" s="106"/>
      <c r="R164" s="106"/>
      <c r="S164" s="106"/>
      <c r="T164" s="109"/>
      <c r="U164" s="109"/>
      <c r="V164" s="109"/>
      <c r="W164" s="109"/>
      <c r="X164" s="109"/>
      <c r="Y164" s="109"/>
      <c r="Z164" s="110"/>
      <c r="AA164" s="110"/>
      <c r="AB164" s="110"/>
      <c r="AC164" s="110"/>
      <c r="AD164" s="108"/>
      <c r="AE164" s="108"/>
      <c r="AF164" s="108"/>
      <c r="AG164" s="108"/>
      <c r="AH164" s="108"/>
      <c r="AI164" s="108"/>
      <c r="AJ164" s="108"/>
      <c r="AK164" s="108"/>
      <c r="AL164" s="108"/>
      <c r="AM164" s="108"/>
      <c r="AN164" s="108"/>
    </row>
    <row r="165" customFormat="false" ht="15" hidden="false" customHeight="false" outlineLevel="0" collapsed="false">
      <c r="A165" s="1" t="n">
        <v>1</v>
      </c>
      <c r="B165" s="1" t="s">
        <v>20</v>
      </c>
      <c r="C165" s="1" t="s">
        <v>128</v>
      </c>
      <c r="F165" s="95"/>
      <c r="H165" s="60" t="n">
        <v>1</v>
      </c>
      <c r="I165" s="60"/>
      <c r="J165" s="60"/>
      <c r="L165" s="60" t="n">
        <f aca="false">K165/4</f>
        <v>0</v>
      </c>
      <c r="M165" s="60" t="n">
        <f aca="false">I165+L165</f>
        <v>0</v>
      </c>
      <c r="N165" s="60" t="n">
        <f aca="false">J165</f>
        <v>0</v>
      </c>
      <c r="O165" s="1" t="s">
        <v>129</v>
      </c>
      <c r="P165" s="1" t="s">
        <v>130</v>
      </c>
      <c r="Q165" s="1" t="s">
        <v>129</v>
      </c>
      <c r="R165" s="1" t="s">
        <v>129</v>
      </c>
      <c r="S165" s="1" t="n">
        <v>104121</v>
      </c>
      <c r="T165" s="97"/>
      <c r="U165" s="97"/>
      <c r="V165" s="98" t="n">
        <v>184826</v>
      </c>
      <c r="W165" s="98" t="s">
        <v>181</v>
      </c>
      <c r="X165" s="98" t="s">
        <v>421</v>
      </c>
      <c r="Y165" s="99" t="s">
        <v>132</v>
      </c>
      <c r="Z165" s="101"/>
      <c r="AA165" s="101"/>
      <c r="AB165" s="101"/>
      <c r="AC165" s="101"/>
      <c r="AD165" s="60" t="n">
        <f aca="false">H165</f>
        <v>1</v>
      </c>
      <c r="AE165" s="60" t="n">
        <f aca="false">M165</f>
        <v>0</v>
      </c>
      <c r="AF165" s="60" t="n">
        <f aca="false">N165</f>
        <v>0</v>
      </c>
      <c r="AG165" s="102" t="n">
        <v>1</v>
      </c>
      <c r="AH165" s="102" t="n">
        <v>0</v>
      </c>
      <c r="AI165" s="102" t="n">
        <v>0</v>
      </c>
      <c r="AJ165" s="102" t="n">
        <v>0</v>
      </c>
      <c r="AK165" s="60" t="s">
        <v>422</v>
      </c>
      <c r="AL165" s="60" t="s">
        <v>136</v>
      </c>
      <c r="AM165" s="60" t="s">
        <v>317</v>
      </c>
      <c r="AN165" s="60" t="s">
        <v>318</v>
      </c>
    </row>
    <row r="166" customFormat="false" ht="15" hidden="false" customHeight="false" outlineLevel="0" collapsed="false">
      <c r="A166" s="1" t="n">
        <v>2</v>
      </c>
      <c r="B166" s="1" t="s">
        <v>22</v>
      </c>
      <c r="C166" s="1" t="s">
        <v>387</v>
      </c>
      <c r="D166" s="1" t="n">
        <v>5</v>
      </c>
      <c r="E166" s="78" t="s">
        <v>145</v>
      </c>
      <c r="F166" s="95"/>
      <c r="G166" s="1" t="n">
        <v>2</v>
      </c>
      <c r="H166" s="96"/>
      <c r="I166" s="96" t="n">
        <v>2</v>
      </c>
      <c r="J166" s="96" t="n">
        <v>1</v>
      </c>
      <c r="K166" s="78" t="n">
        <v>5</v>
      </c>
      <c r="L166" s="96" t="n">
        <f aca="false">ROUNDUP(K166/4,0)</f>
        <v>2</v>
      </c>
      <c r="M166" s="96" t="n">
        <f aca="false">I166+L166</f>
        <v>4</v>
      </c>
      <c r="N166" s="96" t="n">
        <f aca="false">J166</f>
        <v>1</v>
      </c>
      <c r="O166" s="1" t="s">
        <v>129</v>
      </c>
      <c r="P166" s="1" t="s">
        <v>130</v>
      </c>
      <c r="Q166" s="1" t="s">
        <v>131</v>
      </c>
      <c r="R166" s="1" t="s">
        <v>131</v>
      </c>
      <c r="S166" s="1" t="n">
        <v>14865</v>
      </c>
      <c r="T166" s="97" t="s">
        <v>132</v>
      </c>
      <c r="U166" s="97"/>
      <c r="V166" s="98" t="n">
        <v>59317</v>
      </c>
      <c r="W166" s="98"/>
      <c r="X166" s="98" t="s">
        <v>372</v>
      </c>
      <c r="Y166" s="99" t="s">
        <v>132</v>
      </c>
      <c r="Z166" s="100"/>
      <c r="AA166" s="100"/>
      <c r="AB166" s="100" t="n">
        <v>3</v>
      </c>
      <c r="AC166" s="100"/>
      <c r="AD166" s="96"/>
      <c r="AE166" s="96" t="n">
        <f aca="false">M166</f>
        <v>4</v>
      </c>
      <c r="AF166" s="96" t="n">
        <f aca="false">N166</f>
        <v>1</v>
      </c>
      <c r="AG166" s="31" t="n">
        <v>0</v>
      </c>
      <c r="AH166" s="31" t="n">
        <v>0</v>
      </c>
      <c r="AI166" s="31" t="n">
        <v>3</v>
      </c>
      <c r="AJ166" s="31" t="n">
        <v>0</v>
      </c>
      <c r="AK166" s="60" t="s">
        <v>422</v>
      </c>
      <c r="AL166" s="60" t="s">
        <v>136</v>
      </c>
      <c r="AM166" s="60" t="s">
        <v>317</v>
      </c>
      <c r="AN166" s="60" t="s">
        <v>318</v>
      </c>
    </row>
    <row r="167" customFormat="false" ht="15" hidden="false" customHeight="false" outlineLevel="0" collapsed="false">
      <c r="A167" s="1" t="n">
        <v>3</v>
      </c>
      <c r="B167" s="1" t="s">
        <v>24</v>
      </c>
      <c r="C167" s="1" t="s">
        <v>378</v>
      </c>
      <c r="D167" s="1" t="n">
        <v>10</v>
      </c>
      <c r="E167" s="78" t="str">
        <f aca="false">IF(D167&gt;8,"2 de 30h","1 de 44h")</f>
        <v>2 de 30h</v>
      </c>
      <c r="F167" s="95"/>
      <c r="G167" s="1" t="n">
        <v>1</v>
      </c>
      <c r="H167" s="60"/>
      <c r="I167" s="60" t="n">
        <v>2</v>
      </c>
      <c r="J167" s="60"/>
      <c r="K167" s="78" t="n">
        <v>4</v>
      </c>
      <c r="L167" s="60" t="n">
        <f aca="false">K167/4</f>
        <v>1</v>
      </c>
      <c r="M167" s="60" t="n">
        <f aca="false">I167+L167</f>
        <v>3</v>
      </c>
      <c r="N167" s="60" t="n">
        <f aca="false">J167</f>
        <v>0</v>
      </c>
      <c r="O167" s="1" t="s">
        <v>131</v>
      </c>
      <c r="S167" s="1" t="n">
        <v>22473</v>
      </c>
      <c r="T167" s="97" t="s">
        <v>132</v>
      </c>
      <c r="U167" s="97"/>
      <c r="V167" s="98" t="n">
        <v>96087</v>
      </c>
      <c r="W167" s="98" t="s">
        <v>423</v>
      </c>
      <c r="X167" s="98" t="s">
        <v>421</v>
      </c>
      <c r="Y167" s="99" t="s">
        <v>132</v>
      </c>
      <c r="Z167" s="101"/>
      <c r="AA167" s="101"/>
      <c r="AB167" s="101" t="n">
        <v>3</v>
      </c>
      <c r="AC167" s="101"/>
      <c r="AD167" s="60"/>
      <c r="AE167" s="60" t="n">
        <f aca="false">M167</f>
        <v>3</v>
      </c>
      <c r="AF167" s="60" t="n">
        <f aca="false">N167</f>
        <v>0</v>
      </c>
      <c r="AG167" s="102" t="n">
        <v>0</v>
      </c>
      <c r="AH167" s="102" t="n">
        <v>0</v>
      </c>
      <c r="AI167" s="102" t="n">
        <v>3</v>
      </c>
      <c r="AJ167" s="102" t="n">
        <v>0</v>
      </c>
      <c r="AK167" s="60" t="s">
        <v>424</v>
      </c>
      <c r="AL167" s="60" t="s">
        <v>136</v>
      </c>
      <c r="AM167" s="60" t="s">
        <v>317</v>
      </c>
      <c r="AN167" s="60" t="s">
        <v>358</v>
      </c>
    </row>
    <row r="168" customFormat="false" ht="15" hidden="false" customHeight="false" outlineLevel="0" collapsed="false">
      <c r="A168" s="1" t="n">
        <v>4</v>
      </c>
      <c r="B168" s="1" t="s">
        <v>28</v>
      </c>
      <c r="C168" s="1" t="s">
        <v>378</v>
      </c>
      <c r="D168" s="1" t="n">
        <v>10</v>
      </c>
      <c r="E168" s="78" t="str">
        <f aca="false">IF(D168&gt;8,"2 de 30h","1 de 44h")</f>
        <v>2 de 30h</v>
      </c>
      <c r="F168" s="95"/>
      <c r="G168" s="1" t="n">
        <v>1</v>
      </c>
      <c r="H168" s="96"/>
      <c r="I168" s="96" t="n">
        <v>2</v>
      </c>
      <c r="J168" s="96"/>
      <c r="K168" s="78" t="n">
        <v>1</v>
      </c>
      <c r="L168" s="96" t="n">
        <f aca="false">ROUNDUP(K168/4,0)</f>
        <v>1</v>
      </c>
      <c r="M168" s="96" t="n">
        <f aca="false">I168+L168</f>
        <v>3</v>
      </c>
      <c r="N168" s="96" t="n">
        <f aca="false">J168</f>
        <v>0</v>
      </c>
      <c r="O168" s="1" t="s">
        <v>129</v>
      </c>
      <c r="P168" s="1" t="s">
        <v>130</v>
      </c>
      <c r="Q168" s="1" t="s">
        <v>131</v>
      </c>
      <c r="R168" s="1" t="s">
        <v>131</v>
      </c>
      <c r="S168" s="1" t="n">
        <v>934</v>
      </c>
      <c r="T168" s="97"/>
      <c r="U168" s="97"/>
      <c r="V168" s="98" t="n">
        <v>22814</v>
      </c>
      <c r="W168" s="98"/>
      <c r="X168" s="98" t="s">
        <v>394</v>
      </c>
      <c r="Y168" s="99"/>
      <c r="Z168" s="100"/>
      <c r="AA168" s="100"/>
      <c r="AB168" s="100" t="n">
        <v>2</v>
      </c>
      <c r="AC168" s="100"/>
      <c r="AD168" s="96"/>
      <c r="AE168" s="96" t="n">
        <f aca="false">M168</f>
        <v>3</v>
      </c>
      <c r="AF168" s="96" t="n">
        <f aca="false">N168</f>
        <v>0</v>
      </c>
      <c r="AG168" s="31" t="n">
        <v>0</v>
      </c>
      <c r="AH168" s="31" t="n">
        <v>0</v>
      </c>
      <c r="AI168" s="31" t="n">
        <v>2</v>
      </c>
      <c r="AJ168" s="31" t="n">
        <v>0</v>
      </c>
      <c r="AK168" s="60" t="s">
        <v>316</v>
      </c>
      <c r="AL168" s="60" t="s">
        <v>136</v>
      </c>
      <c r="AM168" s="60" t="s">
        <v>317</v>
      </c>
      <c r="AN168" s="60" t="s">
        <v>318</v>
      </c>
    </row>
    <row r="169" customFormat="false" ht="15" hidden="false" customHeight="false" outlineLevel="0" collapsed="false">
      <c r="A169" s="1" t="n">
        <v>5</v>
      </c>
      <c r="B169" s="1" t="s">
        <v>29</v>
      </c>
      <c r="C169" s="1" t="s">
        <v>378</v>
      </c>
      <c r="D169" s="1" t="n">
        <v>10</v>
      </c>
      <c r="E169" s="78" t="str">
        <f aca="false">IF(D169&gt;8,"2 de 30h","1 de 44h")</f>
        <v>2 de 30h</v>
      </c>
      <c r="F169" s="95"/>
      <c r="G169" s="1" t="n">
        <v>1</v>
      </c>
      <c r="H169" s="60"/>
      <c r="I169" s="60" t="n">
        <v>2</v>
      </c>
      <c r="J169" s="60"/>
      <c r="L169" s="60" t="n">
        <f aca="false">K169/4</f>
        <v>0</v>
      </c>
      <c r="M169" s="60" t="n">
        <f aca="false">I169+L169</f>
        <v>2</v>
      </c>
      <c r="N169" s="60" t="n">
        <f aca="false">J169</f>
        <v>0</v>
      </c>
      <c r="O169" s="1" t="s">
        <v>131</v>
      </c>
      <c r="S169" s="1" t="n">
        <v>4103</v>
      </c>
      <c r="T169" s="97"/>
      <c r="U169" s="97"/>
      <c r="V169" s="98" t="n">
        <v>27525</v>
      </c>
      <c r="W169" s="98"/>
      <c r="X169" s="98" t="s">
        <v>425</v>
      </c>
      <c r="Y169" s="99"/>
      <c r="Z169" s="101"/>
      <c r="AA169" s="101"/>
      <c r="AB169" s="101" t="n">
        <v>2</v>
      </c>
      <c r="AC169" s="101"/>
      <c r="AD169" s="60"/>
      <c r="AE169" s="60" t="n">
        <f aca="false">M169</f>
        <v>2</v>
      </c>
      <c r="AF169" s="60" t="n">
        <f aca="false">N169</f>
        <v>0</v>
      </c>
      <c r="AG169" s="102" t="n">
        <v>0</v>
      </c>
      <c r="AH169" s="102" t="n">
        <v>0</v>
      </c>
      <c r="AI169" s="102" t="n">
        <v>2</v>
      </c>
      <c r="AJ169" s="102" t="n">
        <v>0</v>
      </c>
      <c r="AK169" s="60" t="s">
        <v>422</v>
      </c>
      <c r="AL169" s="60" t="s">
        <v>136</v>
      </c>
      <c r="AM169" s="60" t="s">
        <v>317</v>
      </c>
      <c r="AN169" s="60" t="s">
        <v>318</v>
      </c>
    </row>
    <row r="170" customFormat="false" ht="15" hidden="false" customHeight="false" outlineLevel="0" collapsed="false">
      <c r="A170" s="1" t="n">
        <v>6</v>
      </c>
      <c r="B170" s="1" t="s">
        <v>31</v>
      </c>
      <c r="C170" s="1" t="s">
        <v>378</v>
      </c>
      <c r="D170" s="1" t="n">
        <v>10</v>
      </c>
      <c r="E170" s="78" t="str">
        <f aca="false">IF(D170&gt;8,"2 de 30h","1 de 44h")</f>
        <v>2 de 30h</v>
      </c>
      <c r="F170" s="95"/>
      <c r="G170" s="1" t="n">
        <v>2</v>
      </c>
      <c r="H170" s="96"/>
      <c r="I170" s="96" t="n">
        <v>4</v>
      </c>
      <c r="J170" s="96"/>
      <c r="K170" s="78" t="n">
        <v>11</v>
      </c>
      <c r="L170" s="96" t="n">
        <f aca="false">ROUNDUP(K170/4,0)</f>
        <v>3</v>
      </c>
      <c r="M170" s="96" t="n">
        <f aca="false">I170+L170</f>
        <v>7</v>
      </c>
      <c r="N170" s="96" t="n">
        <f aca="false">J170</f>
        <v>0</v>
      </c>
      <c r="O170" s="1" t="s">
        <v>129</v>
      </c>
      <c r="P170" s="1" t="s">
        <v>130</v>
      </c>
      <c r="Q170" s="1" t="s">
        <v>129</v>
      </c>
      <c r="R170" s="1" t="s">
        <v>129</v>
      </c>
      <c r="S170" s="1" t="n">
        <v>36206</v>
      </c>
      <c r="T170" s="97"/>
      <c r="U170" s="97"/>
      <c r="V170" s="98"/>
      <c r="W170" s="98"/>
      <c r="X170" s="98"/>
      <c r="Y170" s="99"/>
      <c r="Z170" s="100"/>
      <c r="AA170" s="100"/>
      <c r="AB170" s="100" t="n">
        <v>3</v>
      </c>
      <c r="AC170" s="100" t="n">
        <v>2</v>
      </c>
      <c r="AD170" s="96"/>
      <c r="AE170" s="96" t="n">
        <f aca="false">M170</f>
        <v>7</v>
      </c>
      <c r="AF170" s="96" t="n">
        <f aca="false">N170</f>
        <v>0</v>
      </c>
      <c r="AG170" s="31" t="n">
        <v>0</v>
      </c>
      <c r="AH170" s="31" t="n">
        <v>0</v>
      </c>
      <c r="AI170" s="31" t="n">
        <v>5</v>
      </c>
      <c r="AJ170" s="31" t="n">
        <v>0</v>
      </c>
      <c r="AK170" s="60" t="s">
        <v>422</v>
      </c>
      <c r="AL170" s="60" t="s">
        <v>136</v>
      </c>
      <c r="AM170" s="60" t="s">
        <v>317</v>
      </c>
      <c r="AN170" s="60" t="s">
        <v>318</v>
      </c>
    </row>
    <row r="171" customFormat="false" ht="15" hidden="false" customHeight="false" outlineLevel="0" collapsed="false">
      <c r="A171" s="1" t="n">
        <v>7</v>
      </c>
      <c r="B171" s="1" t="s">
        <v>426</v>
      </c>
      <c r="C171" s="1" t="s">
        <v>381</v>
      </c>
      <c r="D171" s="1" t="n">
        <v>6</v>
      </c>
      <c r="E171" s="78" t="s">
        <v>145</v>
      </c>
      <c r="F171" s="95"/>
      <c r="G171" s="1" t="n">
        <v>1</v>
      </c>
      <c r="H171" s="60"/>
      <c r="I171" s="60" t="n">
        <v>2</v>
      </c>
      <c r="J171" s="60" t="n">
        <v>0</v>
      </c>
      <c r="K171" s="78" t="n">
        <v>2</v>
      </c>
      <c r="L171" s="60" t="n">
        <f aca="false">ROUNDUP(K171/4,0)</f>
        <v>1</v>
      </c>
      <c r="M171" s="60" t="n">
        <f aca="false">I171+L171</f>
        <v>3</v>
      </c>
      <c r="N171" s="60" t="n">
        <f aca="false">J171</f>
        <v>0</v>
      </c>
      <c r="O171" s="1" t="s">
        <v>131</v>
      </c>
      <c r="S171" s="1" t="n">
        <v>6833</v>
      </c>
      <c r="T171" s="97" t="s">
        <v>132</v>
      </c>
      <c r="U171" s="97"/>
      <c r="V171" s="98" t="n">
        <v>30044</v>
      </c>
      <c r="W171" s="98"/>
      <c r="X171" s="98" t="s">
        <v>268</v>
      </c>
      <c r="Y171" s="99" t="s">
        <v>132</v>
      </c>
      <c r="Z171" s="101"/>
      <c r="AA171" s="101"/>
      <c r="AB171" s="101" t="n">
        <v>2</v>
      </c>
      <c r="AC171" s="101"/>
      <c r="AD171" s="60"/>
      <c r="AE171" s="60" t="n">
        <f aca="false">M171</f>
        <v>3</v>
      </c>
      <c r="AF171" s="60" t="n">
        <f aca="false">N171</f>
        <v>0</v>
      </c>
      <c r="AG171" s="102" t="n">
        <v>0</v>
      </c>
      <c r="AH171" s="102" t="n">
        <v>0</v>
      </c>
      <c r="AI171" s="102" t="n">
        <v>3</v>
      </c>
      <c r="AJ171" s="102" t="n">
        <v>0</v>
      </c>
      <c r="AK171" s="60" t="s">
        <v>422</v>
      </c>
      <c r="AL171" s="60" t="s">
        <v>136</v>
      </c>
      <c r="AM171" s="60" t="s">
        <v>317</v>
      </c>
      <c r="AN171" s="60" t="s">
        <v>318</v>
      </c>
    </row>
    <row r="172" customFormat="false" ht="15" hidden="false" customHeight="false" outlineLevel="0" collapsed="false">
      <c r="A172" s="1" t="n">
        <v>8</v>
      </c>
      <c r="B172" s="1" t="s">
        <v>23</v>
      </c>
      <c r="C172" s="1" t="s">
        <v>387</v>
      </c>
      <c r="D172" s="1" t="n">
        <v>5</v>
      </c>
      <c r="E172" s="78" t="str">
        <f aca="false">IF(D172&gt;8,"2 de 30h","1 de 44h")</f>
        <v>1 de 44h</v>
      </c>
      <c r="F172" s="95"/>
      <c r="G172" s="1" t="n">
        <v>1</v>
      </c>
      <c r="H172" s="96"/>
      <c r="I172" s="96"/>
      <c r="J172" s="96" t="n">
        <v>1</v>
      </c>
      <c r="K172" s="78" t="n">
        <v>0</v>
      </c>
      <c r="L172" s="96" t="n">
        <f aca="false">ROUNDUP(K172/4,0)</f>
        <v>0</v>
      </c>
      <c r="M172" s="96" t="n">
        <f aca="false">I172+L172</f>
        <v>0</v>
      </c>
      <c r="N172" s="96" t="n">
        <f aca="false">J172</f>
        <v>1</v>
      </c>
      <c r="O172" s="1" t="s">
        <v>131</v>
      </c>
      <c r="R172" s="1" t="s">
        <v>129</v>
      </c>
      <c r="S172" s="1" t="n">
        <v>772</v>
      </c>
      <c r="T172" s="97"/>
      <c r="U172" s="97"/>
      <c r="V172" s="98" t="n">
        <v>8651</v>
      </c>
      <c r="W172" s="98"/>
      <c r="X172" s="98" t="s">
        <v>427</v>
      </c>
      <c r="Y172" s="99"/>
      <c r="Z172" s="100"/>
      <c r="AA172" s="100"/>
      <c r="AB172" s="100" t="n">
        <v>2</v>
      </c>
      <c r="AC172" s="100"/>
      <c r="AD172" s="96"/>
      <c r="AE172" s="96" t="n">
        <f aca="false">M172</f>
        <v>0</v>
      </c>
      <c r="AF172" s="96" t="n">
        <f aca="false">N172</f>
        <v>1</v>
      </c>
      <c r="AG172" s="31" t="n">
        <v>0</v>
      </c>
      <c r="AH172" s="31" t="n">
        <v>0</v>
      </c>
      <c r="AI172" s="31" t="n">
        <v>1</v>
      </c>
      <c r="AJ172" s="31" t="n">
        <v>0</v>
      </c>
      <c r="AK172" s="60" t="s">
        <v>395</v>
      </c>
      <c r="AL172" s="60" t="s">
        <v>136</v>
      </c>
      <c r="AM172" s="60" t="s">
        <v>317</v>
      </c>
      <c r="AN172" s="60" t="s">
        <v>318</v>
      </c>
    </row>
    <row r="173" customFormat="false" ht="15" hidden="false" customHeight="false" outlineLevel="0" collapsed="false">
      <c r="A173" s="1" t="n">
        <v>9</v>
      </c>
      <c r="B173" s="1" t="s">
        <v>27</v>
      </c>
      <c r="C173" s="1" t="s">
        <v>387</v>
      </c>
      <c r="D173" s="1" t="n">
        <v>5</v>
      </c>
      <c r="E173" s="78" t="str">
        <f aca="false">IF(D173&gt;8,"2 de 30h","1 de 44h")</f>
        <v>1 de 44h</v>
      </c>
      <c r="F173" s="95"/>
      <c r="G173" s="1" t="n">
        <v>1</v>
      </c>
      <c r="H173" s="60"/>
      <c r="I173" s="60"/>
      <c r="J173" s="60" t="n">
        <v>1</v>
      </c>
      <c r="K173" s="78" t="n">
        <v>2</v>
      </c>
      <c r="L173" s="60" t="n">
        <f aca="false">ROUNDUP(K173/4,0)</f>
        <v>1</v>
      </c>
      <c r="M173" s="60" t="n">
        <f aca="false">I173+L173</f>
        <v>1</v>
      </c>
      <c r="N173" s="60" t="n">
        <f aca="false">J173</f>
        <v>1</v>
      </c>
      <c r="O173" s="1" t="s">
        <v>129</v>
      </c>
      <c r="P173" s="1" t="s">
        <v>130</v>
      </c>
      <c r="Q173" s="1" t="s">
        <v>131</v>
      </c>
      <c r="R173" s="1" t="s">
        <v>131</v>
      </c>
      <c r="S173" s="1" t="n">
        <v>4126</v>
      </c>
      <c r="T173" s="97"/>
      <c r="U173" s="97"/>
      <c r="V173" s="98" t="n">
        <v>16154</v>
      </c>
      <c r="W173" s="98"/>
      <c r="X173" s="98" t="s">
        <v>428</v>
      </c>
      <c r="Y173" s="99"/>
      <c r="Z173" s="101"/>
      <c r="AA173" s="101"/>
      <c r="AB173" s="101" t="n">
        <v>2</v>
      </c>
      <c r="AC173" s="101"/>
      <c r="AD173" s="60"/>
      <c r="AE173" s="60" t="n">
        <f aca="false">M173</f>
        <v>1</v>
      </c>
      <c r="AF173" s="60" t="n">
        <f aca="false">N173</f>
        <v>1</v>
      </c>
      <c r="AG173" s="102" t="n">
        <v>0</v>
      </c>
      <c r="AH173" s="102" t="n">
        <v>0</v>
      </c>
      <c r="AI173" s="102" t="n">
        <v>2</v>
      </c>
      <c r="AJ173" s="102" t="n">
        <v>0</v>
      </c>
      <c r="AK173" s="60" t="s">
        <v>424</v>
      </c>
      <c r="AL173" s="60" t="s">
        <v>136</v>
      </c>
      <c r="AM173" s="60" t="s">
        <v>317</v>
      </c>
      <c r="AN173" s="60" t="s">
        <v>358</v>
      </c>
    </row>
    <row r="174" customFormat="false" ht="15" hidden="false" customHeight="false" outlineLevel="0" collapsed="false">
      <c r="A174" s="1" t="n">
        <v>10</v>
      </c>
      <c r="B174" s="1" t="s">
        <v>429</v>
      </c>
      <c r="C174" s="1" t="s">
        <v>378</v>
      </c>
      <c r="D174" s="1" t="n">
        <v>10</v>
      </c>
      <c r="E174" s="78" t="str">
        <f aca="false">IF(D174&gt;8,"2 de 30h","1 de 44h")</f>
        <v>2 de 30h</v>
      </c>
      <c r="F174" s="95"/>
      <c r="G174" s="1" t="n">
        <v>1</v>
      </c>
      <c r="H174" s="96"/>
      <c r="I174" s="96" t="n">
        <v>2</v>
      </c>
      <c r="J174" s="96"/>
      <c r="L174" s="96" t="n">
        <f aca="false">K174/4</f>
        <v>0</v>
      </c>
      <c r="M174" s="96" t="n">
        <f aca="false">I174+L174</f>
        <v>2</v>
      </c>
      <c r="N174" s="96" t="n">
        <f aca="false">J174</f>
        <v>0</v>
      </c>
      <c r="O174" s="1" t="s">
        <v>129</v>
      </c>
      <c r="P174" s="1" t="s">
        <v>130</v>
      </c>
      <c r="Q174" s="1" t="s">
        <v>131</v>
      </c>
      <c r="R174" s="1" t="s">
        <v>131</v>
      </c>
      <c r="S174" s="1" t="n">
        <v>6090</v>
      </c>
      <c r="T174" s="97"/>
      <c r="U174" s="97"/>
      <c r="V174" s="98" t="n">
        <v>36364</v>
      </c>
      <c r="W174" s="98"/>
      <c r="X174" s="98" t="s">
        <v>192</v>
      </c>
      <c r="Y174" s="99"/>
      <c r="Z174" s="100"/>
      <c r="AA174" s="100"/>
      <c r="AB174" s="100" t="n">
        <v>2</v>
      </c>
      <c r="AC174" s="100"/>
      <c r="AD174" s="96"/>
      <c r="AE174" s="96" t="n">
        <f aca="false">M174</f>
        <v>2</v>
      </c>
      <c r="AF174" s="96" t="n">
        <f aca="false">N174</f>
        <v>0</v>
      </c>
      <c r="AG174" s="31" t="n">
        <v>0</v>
      </c>
      <c r="AH174" s="31" t="n">
        <v>0</v>
      </c>
      <c r="AI174" s="31" t="n">
        <v>2</v>
      </c>
      <c r="AJ174" s="31" t="n">
        <v>0</v>
      </c>
      <c r="AK174" s="60" t="s">
        <v>422</v>
      </c>
      <c r="AL174" s="60" t="s">
        <v>136</v>
      </c>
      <c r="AM174" s="60" t="s">
        <v>317</v>
      </c>
      <c r="AN174" s="60" t="s">
        <v>318</v>
      </c>
    </row>
    <row r="175" customFormat="false" ht="15" hidden="false" customHeight="false" outlineLevel="0" collapsed="false">
      <c r="A175" s="1" t="n">
        <v>11</v>
      </c>
      <c r="B175" s="1" t="s">
        <v>33</v>
      </c>
      <c r="C175" s="1" t="s">
        <v>387</v>
      </c>
      <c r="D175" s="1" t="n">
        <v>5</v>
      </c>
      <c r="E175" s="78" t="str">
        <f aca="false">IF(D175&gt;8,"2 de 30h","1 de 44h")</f>
        <v>1 de 44h</v>
      </c>
      <c r="F175" s="95"/>
      <c r="G175" s="1" t="n">
        <v>1</v>
      </c>
      <c r="H175" s="60"/>
      <c r="I175" s="60"/>
      <c r="J175" s="60" t="n">
        <v>1</v>
      </c>
      <c r="L175" s="60" t="n">
        <f aca="false">K175/4</f>
        <v>0</v>
      </c>
      <c r="M175" s="60" t="n">
        <f aca="false">I175+L175</f>
        <v>0</v>
      </c>
      <c r="N175" s="60" t="n">
        <f aca="false">J175</f>
        <v>1</v>
      </c>
      <c r="O175" s="1" t="s">
        <v>131</v>
      </c>
      <c r="S175" s="1" t="n">
        <v>1994</v>
      </c>
      <c r="T175" s="97"/>
      <c r="U175" s="97"/>
      <c r="V175" s="98" t="n">
        <v>14253</v>
      </c>
      <c r="W175" s="98"/>
      <c r="X175" s="98" t="s">
        <v>383</v>
      </c>
      <c r="Y175" s="99"/>
      <c r="Z175" s="101"/>
      <c r="AA175" s="101"/>
      <c r="AB175" s="101" t="n">
        <v>1</v>
      </c>
      <c r="AC175" s="101"/>
      <c r="AD175" s="60"/>
      <c r="AE175" s="60" t="n">
        <f aca="false">M175</f>
        <v>0</v>
      </c>
      <c r="AF175" s="60" t="n">
        <f aca="false">N175</f>
        <v>1</v>
      </c>
      <c r="AG175" s="102" t="n">
        <v>0</v>
      </c>
      <c r="AH175" s="102" t="n">
        <v>0</v>
      </c>
      <c r="AI175" s="102" t="n">
        <v>1</v>
      </c>
      <c r="AJ175" s="102" t="n">
        <v>0</v>
      </c>
      <c r="AK175" s="60" t="s">
        <v>316</v>
      </c>
      <c r="AL175" s="60" t="s">
        <v>136</v>
      </c>
      <c r="AM175" s="60" t="s">
        <v>317</v>
      </c>
      <c r="AN175" s="60" t="s">
        <v>318</v>
      </c>
    </row>
    <row r="176" customFormat="false" ht="15" hidden="false" customHeight="false" outlineLevel="0" collapsed="false">
      <c r="A176" s="1" t="n">
        <v>12</v>
      </c>
      <c r="B176" s="1" t="s">
        <v>26</v>
      </c>
      <c r="C176" s="1" t="s">
        <v>382</v>
      </c>
      <c r="D176" s="1" t="n">
        <v>10</v>
      </c>
      <c r="E176" s="78" t="str">
        <f aca="false">IF(D176&gt;8,"2 de 30h","1 de 44h")</f>
        <v>2 de 30h</v>
      </c>
      <c r="F176" s="95"/>
      <c r="G176" s="1" t="n">
        <v>1</v>
      </c>
      <c r="H176" s="96"/>
      <c r="I176" s="96" t="n">
        <v>2</v>
      </c>
      <c r="J176" s="96"/>
      <c r="K176" s="78" t="n">
        <v>1</v>
      </c>
      <c r="L176" s="96" t="n">
        <f aca="false">ROUNDUP(K176/4,0)</f>
        <v>1</v>
      </c>
      <c r="M176" s="96" t="n">
        <f aca="false">I176+L176</f>
        <v>3</v>
      </c>
      <c r="N176" s="96" t="n">
        <f aca="false">J176</f>
        <v>0</v>
      </c>
      <c r="O176" s="1" t="s">
        <v>129</v>
      </c>
      <c r="P176" s="1" t="s">
        <v>130</v>
      </c>
      <c r="Q176" s="1" t="s">
        <v>131</v>
      </c>
      <c r="R176" s="1" t="s">
        <v>131</v>
      </c>
      <c r="S176" s="1" t="n">
        <v>2380</v>
      </c>
      <c r="T176" s="97"/>
      <c r="U176" s="97"/>
      <c r="V176" s="98" t="n">
        <v>15240</v>
      </c>
      <c r="W176" s="98"/>
      <c r="X176" s="98" t="s">
        <v>394</v>
      </c>
      <c r="Y176" s="99"/>
      <c r="Z176" s="100"/>
      <c r="AA176" s="100"/>
      <c r="AB176" s="100" t="n">
        <v>2</v>
      </c>
      <c r="AC176" s="100"/>
      <c r="AD176" s="96"/>
      <c r="AE176" s="96" t="n">
        <f aca="false">M176</f>
        <v>3</v>
      </c>
      <c r="AF176" s="96" t="n">
        <f aca="false">N176</f>
        <v>0</v>
      </c>
      <c r="AG176" s="31" t="n">
        <v>0</v>
      </c>
      <c r="AH176" s="31" t="n">
        <v>0</v>
      </c>
      <c r="AI176" s="31" t="n">
        <v>2</v>
      </c>
      <c r="AJ176" s="31" t="n">
        <v>0</v>
      </c>
      <c r="AK176" s="60" t="s">
        <v>395</v>
      </c>
      <c r="AL176" s="60" t="s">
        <v>136</v>
      </c>
      <c r="AM176" s="60" t="s">
        <v>317</v>
      </c>
      <c r="AN176" s="60" t="s">
        <v>318</v>
      </c>
    </row>
    <row r="177" customFormat="false" ht="15" hidden="false" customHeight="false" outlineLevel="0" collapsed="false">
      <c r="A177" s="1" t="n">
        <v>13</v>
      </c>
      <c r="B177" s="1" t="s">
        <v>430</v>
      </c>
      <c r="C177" s="1" t="s">
        <v>381</v>
      </c>
      <c r="D177" s="1" t="n">
        <v>6</v>
      </c>
      <c r="E177" s="78" t="str">
        <f aca="false">IF(D177&gt;8,"2 de 30h","1 de 44h")</f>
        <v>1 de 44h</v>
      </c>
      <c r="F177" s="95"/>
      <c r="G177" s="1" t="n">
        <v>1</v>
      </c>
      <c r="H177" s="60"/>
      <c r="I177" s="60"/>
      <c r="J177" s="60" t="n">
        <v>1</v>
      </c>
      <c r="L177" s="60" t="n">
        <f aca="false">K177/4</f>
        <v>0</v>
      </c>
      <c r="M177" s="60" t="n">
        <f aca="false">I177+L177</f>
        <v>0</v>
      </c>
      <c r="N177" s="60" t="n">
        <f aca="false">J177</f>
        <v>1</v>
      </c>
      <c r="O177" s="1" t="s">
        <v>129</v>
      </c>
      <c r="P177" s="1" t="s">
        <v>431</v>
      </c>
      <c r="Q177" s="1" t="s">
        <v>131</v>
      </c>
      <c r="R177" s="1" t="s">
        <v>129</v>
      </c>
      <c r="S177" s="1" t="n">
        <v>3345</v>
      </c>
      <c r="T177" s="97"/>
      <c r="U177" s="97"/>
      <c r="V177" s="98" t="n">
        <v>21285</v>
      </c>
      <c r="W177" s="98"/>
      <c r="X177" s="98" t="s">
        <v>364</v>
      </c>
      <c r="Y177" s="99"/>
      <c r="Z177" s="101"/>
      <c r="AA177" s="101"/>
      <c r="AB177" s="101" t="n">
        <v>2</v>
      </c>
      <c r="AC177" s="101"/>
      <c r="AD177" s="60"/>
      <c r="AE177" s="60" t="n">
        <f aca="false">M177</f>
        <v>0</v>
      </c>
      <c r="AF177" s="60" t="n">
        <f aca="false">N177</f>
        <v>1</v>
      </c>
      <c r="AG177" s="102" t="n">
        <v>0</v>
      </c>
      <c r="AH177" s="102" t="n">
        <v>0</v>
      </c>
      <c r="AI177" s="102" t="n">
        <v>1</v>
      </c>
      <c r="AJ177" s="102" t="n">
        <v>0</v>
      </c>
      <c r="AK177" s="60" t="s">
        <v>316</v>
      </c>
      <c r="AL177" s="60" t="s">
        <v>136</v>
      </c>
      <c r="AM177" s="60" t="s">
        <v>317</v>
      </c>
      <c r="AN177" s="60" t="s">
        <v>318</v>
      </c>
    </row>
    <row r="178" customFormat="false" ht="9" hidden="false" customHeight="true" outlineLevel="0" collapsed="false">
      <c r="A178" s="106"/>
      <c r="B178" s="106"/>
      <c r="C178" s="106"/>
      <c r="D178" s="106"/>
      <c r="E178" s="107"/>
      <c r="F178" s="111"/>
      <c r="G178" s="106"/>
      <c r="H178" s="108"/>
      <c r="I178" s="108"/>
      <c r="J178" s="108"/>
      <c r="K178" s="107"/>
      <c r="L178" s="108"/>
      <c r="M178" s="108"/>
      <c r="N178" s="108"/>
      <c r="O178" s="106"/>
      <c r="P178" s="106"/>
      <c r="Q178" s="106"/>
      <c r="R178" s="106"/>
      <c r="S178" s="106"/>
      <c r="T178" s="109"/>
      <c r="U178" s="109"/>
      <c r="V178" s="109"/>
      <c r="W178" s="109"/>
      <c r="X178" s="109"/>
      <c r="Y178" s="109"/>
      <c r="Z178" s="110"/>
      <c r="AA178" s="110"/>
      <c r="AB178" s="110"/>
      <c r="AC178" s="110"/>
      <c r="AD178" s="108"/>
      <c r="AE178" s="108"/>
      <c r="AF178" s="108"/>
      <c r="AG178" s="108"/>
      <c r="AH178" s="108"/>
      <c r="AI178" s="108"/>
      <c r="AJ178" s="108"/>
      <c r="AK178" s="108"/>
      <c r="AL178" s="108"/>
      <c r="AM178" s="108"/>
      <c r="AN178" s="108"/>
    </row>
    <row r="179" customFormat="false" ht="15" hidden="false" customHeight="false" outlineLevel="0" collapsed="false">
      <c r="A179" s="1" t="n">
        <v>1</v>
      </c>
      <c r="B179" s="1" t="s">
        <v>432</v>
      </c>
      <c r="C179" s="1" t="s">
        <v>140</v>
      </c>
      <c r="F179" s="95"/>
      <c r="G179" s="1" t="n">
        <v>2</v>
      </c>
      <c r="H179" s="60" t="n">
        <v>1</v>
      </c>
      <c r="I179" s="60"/>
      <c r="J179" s="60"/>
      <c r="K179" s="78" t="n">
        <v>0</v>
      </c>
      <c r="L179" s="60" t="n">
        <f aca="false">K179/4</f>
        <v>0</v>
      </c>
      <c r="M179" s="60" t="n">
        <f aca="false">I179+L179</f>
        <v>0</v>
      </c>
      <c r="N179" s="60" t="n">
        <f aca="false">J179</f>
        <v>0</v>
      </c>
      <c r="O179" s="1" t="s">
        <v>179</v>
      </c>
      <c r="P179" s="1" t="s">
        <v>229</v>
      </c>
      <c r="Q179" s="1" t="s">
        <v>179</v>
      </c>
      <c r="R179" s="1" t="s">
        <v>179</v>
      </c>
      <c r="S179" s="1" t="n">
        <v>142076</v>
      </c>
      <c r="T179" s="97"/>
      <c r="U179" s="97"/>
      <c r="V179" s="98" t="n">
        <v>328275</v>
      </c>
      <c r="W179" s="98" t="s">
        <v>433</v>
      </c>
      <c r="X179" s="98" t="s">
        <v>251</v>
      </c>
      <c r="Y179" s="99" t="s">
        <v>132</v>
      </c>
      <c r="Z179" s="101" t="n">
        <v>1</v>
      </c>
      <c r="AA179" s="101" t="n">
        <v>1</v>
      </c>
      <c r="AB179" s="101"/>
      <c r="AC179" s="101" t="n">
        <v>1</v>
      </c>
      <c r="AD179" s="60" t="n">
        <f aca="false">H179</f>
        <v>1</v>
      </c>
      <c r="AE179" s="60" t="n">
        <f aca="false">M179</f>
        <v>0</v>
      </c>
      <c r="AF179" s="60" t="n">
        <f aca="false">N179</f>
        <v>0</v>
      </c>
      <c r="AG179" s="102" t="n">
        <v>0</v>
      </c>
      <c r="AH179" s="102" t="n">
        <v>1</v>
      </c>
      <c r="AI179" s="102" t="n">
        <v>0</v>
      </c>
      <c r="AJ179" s="102" t="n">
        <v>1</v>
      </c>
      <c r="AK179" s="60" t="s">
        <v>316</v>
      </c>
      <c r="AL179" s="60" t="s">
        <v>136</v>
      </c>
      <c r="AM179" s="60" t="s">
        <v>317</v>
      </c>
      <c r="AN179" s="60" t="s">
        <v>318</v>
      </c>
    </row>
    <row r="180" customFormat="false" ht="15" hidden="false" customHeight="false" outlineLevel="0" collapsed="false">
      <c r="A180" s="1" t="n">
        <v>2</v>
      </c>
      <c r="B180" s="1" t="s">
        <v>434</v>
      </c>
      <c r="C180" s="1" t="s">
        <v>197</v>
      </c>
      <c r="D180" s="1" t="n">
        <v>10</v>
      </c>
      <c r="E180" s="78" t="str">
        <f aca="false">IF(D180&gt;8,"2 de 30h","1 de 44h")</f>
        <v>2 de 30h</v>
      </c>
      <c r="F180" s="95"/>
      <c r="G180" s="1" t="n">
        <v>1</v>
      </c>
      <c r="H180" s="96"/>
      <c r="I180" s="96" t="n">
        <v>2</v>
      </c>
      <c r="J180" s="96"/>
      <c r="K180" s="78" t="n">
        <v>3</v>
      </c>
      <c r="L180" s="96" t="n">
        <f aca="false">ROUNDUP(K180/4,0)</f>
        <v>1</v>
      </c>
      <c r="M180" s="96" t="n">
        <f aca="false">I180+L180</f>
        <v>3</v>
      </c>
      <c r="N180" s="96" t="n">
        <f aca="false">J180</f>
        <v>0</v>
      </c>
      <c r="O180" s="1" t="s">
        <v>179</v>
      </c>
      <c r="P180" s="1" t="s">
        <v>229</v>
      </c>
      <c r="Q180" s="1" t="s">
        <v>186</v>
      </c>
      <c r="R180" s="1" t="s">
        <v>186</v>
      </c>
      <c r="S180" s="1" t="n">
        <v>22118</v>
      </c>
      <c r="T180" s="97"/>
      <c r="U180" s="97"/>
      <c r="V180" s="98" t="n">
        <v>116794</v>
      </c>
      <c r="W180" s="98" t="s">
        <v>423</v>
      </c>
      <c r="X180" s="98" t="s">
        <v>297</v>
      </c>
      <c r="Y180" s="99"/>
      <c r="Z180" s="100" t="n">
        <v>1</v>
      </c>
      <c r="AA180" s="100"/>
      <c r="AB180" s="100"/>
      <c r="AC180" s="100" t="n">
        <v>3</v>
      </c>
      <c r="AD180" s="96"/>
      <c r="AE180" s="96" t="n">
        <f aca="false">M180</f>
        <v>3</v>
      </c>
      <c r="AF180" s="96" t="n">
        <f aca="false">N180</f>
        <v>0</v>
      </c>
      <c r="AG180" s="31" t="n">
        <v>0</v>
      </c>
      <c r="AH180" s="31" t="n">
        <v>0</v>
      </c>
      <c r="AI180" s="31" t="n">
        <v>3</v>
      </c>
      <c r="AJ180" s="31" t="n">
        <v>0</v>
      </c>
      <c r="AK180" s="60" t="s">
        <v>316</v>
      </c>
      <c r="AL180" s="60" t="s">
        <v>136</v>
      </c>
      <c r="AM180" s="60" t="s">
        <v>317</v>
      </c>
      <c r="AN180" s="60" t="s">
        <v>318</v>
      </c>
    </row>
    <row r="181" customFormat="false" ht="15" hidden="false" customHeight="false" outlineLevel="0" collapsed="false">
      <c r="A181" s="1" t="n">
        <v>3</v>
      </c>
      <c r="B181" s="1" t="s">
        <v>435</v>
      </c>
      <c r="C181" s="1" t="s">
        <v>197</v>
      </c>
      <c r="D181" s="1" t="n">
        <v>10</v>
      </c>
      <c r="E181" s="78" t="str">
        <f aca="false">IF(D181&gt;8,"2 de 30h","1 de 44h")</f>
        <v>2 de 30h</v>
      </c>
      <c r="F181" s="95"/>
      <c r="G181" s="1" t="n">
        <v>2</v>
      </c>
      <c r="H181" s="60"/>
      <c r="I181" s="60" t="n">
        <v>4</v>
      </c>
      <c r="J181" s="60"/>
      <c r="K181" s="78" t="n">
        <v>3</v>
      </c>
      <c r="L181" s="60" t="n">
        <f aca="false">ROUNDUP(K181/4,0)</f>
        <v>1</v>
      </c>
      <c r="M181" s="60" t="n">
        <f aca="false">I181+L181</f>
        <v>5</v>
      </c>
      <c r="N181" s="60" t="n">
        <f aca="false">J181</f>
        <v>0</v>
      </c>
      <c r="O181" s="1" t="s">
        <v>179</v>
      </c>
      <c r="P181" s="1" t="s">
        <v>436</v>
      </c>
      <c r="Q181" s="1" t="s">
        <v>186</v>
      </c>
      <c r="R181" s="1" t="s">
        <v>186</v>
      </c>
      <c r="S181" s="1" t="n">
        <v>14239</v>
      </c>
      <c r="T181" s="97"/>
      <c r="U181" s="97"/>
      <c r="V181" s="98" t="n">
        <v>62764</v>
      </c>
      <c r="W181" s="98"/>
      <c r="X181" s="98" t="s">
        <v>437</v>
      </c>
      <c r="Y181" s="99"/>
      <c r="Z181" s="101" t="n">
        <v>1</v>
      </c>
      <c r="AA181" s="101"/>
      <c r="AB181" s="101"/>
      <c r="AC181" s="101" t="n">
        <v>3</v>
      </c>
      <c r="AD181" s="60"/>
      <c r="AE181" s="60" t="n">
        <f aca="false">M181</f>
        <v>5</v>
      </c>
      <c r="AF181" s="60" t="n">
        <f aca="false">N181</f>
        <v>0</v>
      </c>
      <c r="AG181" s="102" t="n">
        <v>0</v>
      </c>
      <c r="AH181" s="102" t="n">
        <v>0</v>
      </c>
      <c r="AI181" s="102" t="n">
        <v>5</v>
      </c>
      <c r="AJ181" s="102" t="n">
        <v>0</v>
      </c>
      <c r="AK181" s="60" t="s">
        <v>316</v>
      </c>
      <c r="AL181" s="60" t="s">
        <v>136</v>
      </c>
      <c r="AM181" s="60" t="s">
        <v>317</v>
      </c>
      <c r="AN181" s="60" t="s">
        <v>318</v>
      </c>
    </row>
    <row r="182" customFormat="false" ht="15" hidden="false" customHeight="false" outlineLevel="0" collapsed="false">
      <c r="A182" s="1" t="n">
        <v>4</v>
      </c>
      <c r="B182" s="1" t="s">
        <v>438</v>
      </c>
      <c r="C182" s="1" t="s">
        <v>203</v>
      </c>
      <c r="D182" s="1" t="n">
        <v>6</v>
      </c>
      <c r="E182" s="78" t="s">
        <v>145</v>
      </c>
      <c r="F182" s="95"/>
      <c r="G182" s="1" t="n">
        <v>2</v>
      </c>
      <c r="H182" s="96"/>
      <c r="I182" s="96" t="n">
        <v>2</v>
      </c>
      <c r="J182" s="96" t="n">
        <v>1</v>
      </c>
      <c r="K182" s="78" t="n">
        <v>1</v>
      </c>
      <c r="L182" s="96" t="n">
        <f aca="false">ROUNDUP(K182/4,0)</f>
        <v>1</v>
      </c>
      <c r="M182" s="96" t="n">
        <f aca="false">I182+L182</f>
        <v>3</v>
      </c>
      <c r="N182" s="96" t="n">
        <f aca="false">J182</f>
        <v>1</v>
      </c>
      <c r="O182" s="1" t="s">
        <v>179</v>
      </c>
      <c r="P182" s="1" t="s">
        <v>229</v>
      </c>
      <c r="Q182" s="1" t="s">
        <v>186</v>
      </c>
      <c r="R182" s="1" t="s">
        <v>186</v>
      </c>
      <c r="S182" s="1" t="n">
        <v>6476</v>
      </c>
      <c r="T182" s="97" t="s">
        <v>132</v>
      </c>
      <c r="U182" s="97"/>
      <c r="V182" s="98" t="n">
        <v>27931</v>
      </c>
      <c r="W182" s="98"/>
      <c r="X182" s="98" t="s">
        <v>439</v>
      </c>
      <c r="Y182" s="99" t="s">
        <v>132</v>
      </c>
      <c r="Z182" s="100"/>
      <c r="AA182" s="100"/>
      <c r="AB182" s="100"/>
      <c r="AC182" s="100" t="n">
        <v>2</v>
      </c>
      <c r="AD182" s="96"/>
      <c r="AE182" s="96" t="n">
        <f aca="false">M182</f>
        <v>3</v>
      </c>
      <c r="AF182" s="96" t="n">
        <f aca="false">N182</f>
        <v>1</v>
      </c>
      <c r="AG182" s="31" t="n">
        <v>0</v>
      </c>
      <c r="AH182" s="31" t="n">
        <v>0</v>
      </c>
      <c r="AI182" s="31" t="n">
        <v>3</v>
      </c>
      <c r="AJ182" s="31" t="n">
        <v>1</v>
      </c>
      <c r="AK182" s="60" t="s">
        <v>316</v>
      </c>
      <c r="AL182" s="60" t="s">
        <v>136</v>
      </c>
      <c r="AM182" s="60" t="s">
        <v>317</v>
      </c>
      <c r="AN182" s="60" t="s">
        <v>318</v>
      </c>
    </row>
    <row r="183" customFormat="false" ht="15" hidden="false" customHeight="false" outlineLevel="0" collapsed="false">
      <c r="A183" s="1" t="n">
        <v>5</v>
      </c>
      <c r="B183" s="1" t="s">
        <v>440</v>
      </c>
      <c r="C183" s="1" t="s">
        <v>184</v>
      </c>
      <c r="D183" s="1" t="n">
        <v>10</v>
      </c>
      <c r="E183" s="78" t="str">
        <f aca="false">IF(D183&gt;8,"2 de 30h","1 de 44h")</f>
        <v>2 de 30h</v>
      </c>
      <c r="F183" s="95"/>
      <c r="G183" s="1" t="n">
        <v>1</v>
      </c>
      <c r="H183" s="60"/>
      <c r="I183" s="60" t="n">
        <v>2</v>
      </c>
      <c r="J183" s="60"/>
      <c r="K183" s="78" t="n">
        <v>9</v>
      </c>
      <c r="L183" s="60" t="n">
        <f aca="false">ROUNDUP(K183/4,0)</f>
        <v>3</v>
      </c>
      <c r="M183" s="60" t="n">
        <f aca="false">I183+L183</f>
        <v>5</v>
      </c>
      <c r="N183" s="60" t="n">
        <f aca="false">J183</f>
        <v>0</v>
      </c>
      <c r="O183" s="1" t="s">
        <v>186</v>
      </c>
      <c r="P183" s="1" t="s">
        <v>186</v>
      </c>
      <c r="Q183" s="1" t="s">
        <v>186</v>
      </c>
      <c r="R183" s="1" t="s">
        <v>186</v>
      </c>
      <c r="S183" s="1" t="n">
        <v>37212</v>
      </c>
      <c r="T183" s="97"/>
      <c r="U183" s="97"/>
      <c r="V183" s="98"/>
      <c r="W183" s="98"/>
      <c r="X183" s="98"/>
      <c r="Y183" s="99"/>
      <c r="Z183" s="101"/>
      <c r="AA183" s="101"/>
      <c r="AB183" s="101"/>
      <c r="AC183" s="101" t="n">
        <v>6</v>
      </c>
      <c r="AD183" s="60"/>
      <c r="AE183" s="60" t="n">
        <f aca="false">M183</f>
        <v>5</v>
      </c>
      <c r="AF183" s="60" t="n">
        <f aca="false">N183</f>
        <v>0</v>
      </c>
      <c r="AG183" s="102" t="n">
        <v>0</v>
      </c>
      <c r="AH183" s="102" t="n">
        <v>0</v>
      </c>
      <c r="AI183" s="102" t="n">
        <v>5</v>
      </c>
      <c r="AJ183" s="102" t="n">
        <v>0</v>
      </c>
      <c r="AK183" s="60" t="s">
        <v>316</v>
      </c>
      <c r="AL183" s="60" t="s">
        <v>136</v>
      </c>
      <c r="AM183" s="60" t="s">
        <v>317</v>
      </c>
      <c r="AN183" s="60" t="s">
        <v>318</v>
      </c>
    </row>
    <row r="184" customFormat="false" ht="15" hidden="false" customHeight="false" outlineLevel="0" collapsed="false">
      <c r="A184" s="1" t="n">
        <v>6</v>
      </c>
      <c r="B184" s="1" t="s">
        <v>441</v>
      </c>
      <c r="C184" s="1" t="s">
        <v>197</v>
      </c>
      <c r="D184" s="1" t="n">
        <v>10</v>
      </c>
      <c r="E184" s="78" t="str">
        <f aca="false">IF(D184&gt;8,"2 de 30h","1 de 44h")</f>
        <v>2 de 30h</v>
      </c>
      <c r="F184" s="95"/>
      <c r="G184" s="1" t="n">
        <v>2</v>
      </c>
      <c r="H184" s="96"/>
      <c r="I184" s="96" t="n">
        <v>4</v>
      </c>
      <c r="J184" s="96"/>
      <c r="K184" s="78" t="n">
        <v>6</v>
      </c>
      <c r="L184" s="96" t="n">
        <f aca="false">ROUNDUP(K184/4,0)</f>
        <v>2</v>
      </c>
      <c r="M184" s="96" t="n">
        <f aca="false">I184+L184</f>
        <v>6</v>
      </c>
      <c r="N184" s="96" t="n">
        <f aca="false">J184</f>
        <v>0</v>
      </c>
      <c r="O184" s="1" t="s">
        <v>186</v>
      </c>
      <c r="P184" s="1" t="s">
        <v>186</v>
      </c>
      <c r="Q184" s="1" t="s">
        <v>186</v>
      </c>
      <c r="R184" s="1" t="s">
        <v>186</v>
      </c>
      <c r="S184" s="1" t="n">
        <v>25866</v>
      </c>
      <c r="T184" s="97"/>
      <c r="U184" s="97"/>
      <c r="V184" s="98" t="n">
        <v>197228</v>
      </c>
      <c r="W184" s="98" t="n">
        <v>31</v>
      </c>
      <c r="X184" s="98" t="s">
        <v>442</v>
      </c>
      <c r="Y184" s="99" t="s">
        <v>132</v>
      </c>
      <c r="Z184" s="100" t="n">
        <v>1</v>
      </c>
      <c r="AA184" s="100" t="n">
        <v>1</v>
      </c>
      <c r="AB184" s="100"/>
      <c r="AC184" s="100" t="n">
        <v>3</v>
      </c>
      <c r="AD184" s="96"/>
      <c r="AE184" s="96" t="n">
        <f aca="false">M184</f>
        <v>6</v>
      </c>
      <c r="AF184" s="96" t="n">
        <f aca="false">N184</f>
        <v>0</v>
      </c>
      <c r="AG184" s="31" t="n">
        <v>0</v>
      </c>
      <c r="AH184" s="31" t="n">
        <v>0</v>
      </c>
      <c r="AI184" s="31" t="n">
        <v>6</v>
      </c>
      <c r="AJ184" s="31" t="n">
        <v>0</v>
      </c>
      <c r="AK184" s="60" t="s">
        <v>316</v>
      </c>
      <c r="AL184" s="60" t="s">
        <v>136</v>
      </c>
      <c r="AM184" s="60" t="s">
        <v>317</v>
      </c>
      <c r="AN184" s="60" t="s">
        <v>318</v>
      </c>
    </row>
    <row r="185" customFormat="false" ht="15" hidden="false" customHeight="false" outlineLevel="0" collapsed="false">
      <c r="A185" s="1" t="n">
        <v>7</v>
      </c>
      <c r="B185" s="1" t="s">
        <v>443</v>
      </c>
      <c r="C185" s="1" t="s">
        <v>197</v>
      </c>
      <c r="D185" s="1" t="n">
        <v>10</v>
      </c>
      <c r="E185" s="78" t="str">
        <f aca="false">IF(D185&gt;8,"2 de 30h","1 de 44h")</f>
        <v>2 de 30h</v>
      </c>
      <c r="F185" s="95"/>
      <c r="G185" s="1" t="n">
        <v>1</v>
      </c>
      <c r="H185" s="60"/>
      <c r="I185" s="60" t="n">
        <v>2</v>
      </c>
      <c r="J185" s="60"/>
      <c r="K185" s="78" t="n">
        <v>0</v>
      </c>
      <c r="L185" s="60" t="n">
        <f aca="false">K185/4</f>
        <v>0</v>
      </c>
      <c r="M185" s="60" t="n">
        <f aca="false">I185+L185</f>
        <v>2</v>
      </c>
      <c r="N185" s="60" t="n">
        <f aca="false">J185</f>
        <v>0</v>
      </c>
      <c r="O185" s="1" t="s">
        <v>186</v>
      </c>
      <c r="P185" s="1" t="s">
        <v>186</v>
      </c>
      <c r="Q185" s="1" t="s">
        <v>186</v>
      </c>
      <c r="R185" s="1" t="s">
        <v>186</v>
      </c>
      <c r="S185" s="1" t="n">
        <v>5846</v>
      </c>
      <c r="T185" s="97"/>
      <c r="U185" s="97"/>
      <c r="V185" s="98" t="n">
        <v>43111</v>
      </c>
      <c r="W185" s="98"/>
      <c r="X185" s="98" t="s">
        <v>444</v>
      </c>
      <c r="Y185" s="99"/>
      <c r="Z185" s="101" t="n">
        <v>1</v>
      </c>
      <c r="AA185" s="101"/>
      <c r="AB185" s="101"/>
      <c r="AC185" s="101" t="n">
        <v>1</v>
      </c>
      <c r="AD185" s="60"/>
      <c r="AE185" s="60" t="n">
        <f aca="false">M185</f>
        <v>2</v>
      </c>
      <c r="AF185" s="60" t="n">
        <f aca="false">N185</f>
        <v>0</v>
      </c>
      <c r="AG185" s="102" t="n">
        <v>0</v>
      </c>
      <c r="AH185" s="102" t="n">
        <v>0</v>
      </c>
      <c r="AI185" s="102" t="n">
        <v>2</v>
      </c>
      <c r="AJ185" s="102" t="n">
        <v>0</v>
      </c>
      <c r="AK185" s="60" t="s">
        <v>316</v>
      </c>
      <c r="AL185" s="60" t="s">
        <v>136</v>
      </c>
      <c r="AM185" s="60" t="s">
        <v>317</v>
      </c>
      <c r="AN185" s="60" t="s">
        <v>318</v>
      </c>
    </row>
    <row r="186" customFormat="false" ht="15" hidden="false" customHeight="false" outlineLevel="0" collapsed="false">
      <c r="A186" s="1" t="n">
        <v>8</v>
      </c>
      <c r="B186" s="1" t="s">
        <v>445</v>
      </c>
      <c r="C186" s="1" t="s">
        <v>197</v>
      </c>
      <c r="D186" s="1" t="n">
        <v>10</v>
      </c>
      <c r="E186" s="78" t="str">
        <f aca="false">IF(D186&gt;8,"2 de 30h","1 de 44h")</f>
        <v>2 de 30h</v>
      </c>
      <c r="F186" s="95"/>
      <c r="G186" s="1" t="n">
        <v>2</v>
      </c>
      <c r="H186" s="96"/>
      <c r="I186" s="96" t="n">
        <v>4</v>
      </c>
      <c r="J186" s="96"/>
      <c r="K186" s="78" t="n">
        <v>1</v>
      </c>
      <c r="L186" s="96" t="n">
        <f aca="false">ROUNDUP(K186/4,0)</f>
        <v>1</v>
      </c>
      <c r="M186" s="96" t="n">
        <f aca="false">I186+L186</f>
        <v>5</v>
      </c>
      <c r="N186" s="96" t="n">
        <f aca="false">J186</f>
        <v>0</v>
      </c>
      <c r="O186" s="1" t="s">
        <v>186</v>
      </c>
      <c r="P186" s="1" t="s">
        <v>186</v>
      </c>
      <c r="Q186" s="1" t="s">
        <v>186</v>
      </c>
      <c r="R186" s="1" t="s">
        <v>186</v>
      </c>
      <c r="S186" s="1" t="n">
        <v>8346</v>
      </c>
      <c r="T186" s="97"/>
      <c r="U186" s="97"/>
      <c r="V186" s="98" t="n">
        <v>53259</v>
      </c>
      <c r="W186" s="98"/>
      <c r="X186" s="98" t="s">
        <v>446</v>
      </c>
      <c r="Y186" s="99"/>
      <c r="Z186" s="100" t="n">
        <v>1</v>
      </c>
      <c r="AA186" s="100"/>
      <c r="AB186" s="100"/>
      <c r="AC186" s="100" t="n">
        <v>1</v>
      </c>
      <c r="AD186" s="96"/>
      <c r="AE186" s="96" t="n">
        <f aca="false">M186</f>
        <v>5</v>
      </c>
      <c r="AF186" s="96" t="n">
        <f aca="false">N186</f>
        <v>0</v>
      </c>
      <c r="AG186" s="31" t="n">
        <v>0</v>
      </c>
      <c r="AH186" s="31" t="n">
        <v>0</v>
      </c>
      <c r="AI186" s="31" t="n">
        <v>5</v>
      </c>
      <c r="AJ186" s="31" t="n">
        <v>0</v>
      </c>
      <c r="AK186" s="60" t="s">
        <v>316</v>
      </c>
      <c r="AL186" s="60" t="s">
        <v>136</v>
      </c>
      <c r="AM186" s="60" t="s">
        <v>317</v>
      </c>
      <c r="AN186" s="60" t="s">
        <v>318</v>
      </c>
    </row>
    <row r="187" customFormat="false" ht="15" hidden="false" customHeight="false" outlineLevel="0" collapsed="false">
      <c r="A187" s="1" t="n">
        <v>9</v>
      </c>
      <c r="B187" s="1" t="s">
        <v>447</v>
      </c>
      <c r="C187" s="1" t="s">
        <v>203</v>
      </c>
      <c r="D187" s="1" t="n">
        <v>6</v>
      </c>
      <c r="E187" s="78" t="str">
        <f aca="false">IF(D187&gt;8,"2 de 30h","1 de 44h")</f>
        <v>1 de 44h</v>
      </c>
      <c r="F187" s="95"/>
      <c r="G187" s="1" t="n">
        <v>2</v>
      </c>
      <c r="H187" s="60"/>
      <c r="I187" s="60"/>
      <c r="J187" s="60" t="n">
        <v>2</v>
      </c>
      <c r="K187" s="78" t="n">
        <v>1</v>
      </c>
      <c r="L187" s="60" t="n">
        <f aca="false">ROUNDUP(K187/4,0)</f>
        <v>1</v>
      </c>
      <c r="M187" s="60" t="n">
        <f aca="false">I187+L187</f>
        <v>1</v>
      </c>
      <c r="N187" s="60" t="n">
        <f aca="false">J187</f>
        <v>2</v>
      </c>
      <c r="O187" s="1" t="s">
        <v>179</v>
      </c>
      <c r="P187" s="1" t="s">
        <v>229</v>
      </c>
      <c r="Q187" s="1" t="s">
        <v>186</v>
      </c>
      <c r="R187" s="1" t="s">
        <v>186</v>
      </c>
      <c r="S187" s="1" t="n">
        <v>6423</v>
      </c>
      <c r="T187" s="97"/>
      <c r="U187" s="97"/>
      <c r="V187" s="98" t="n">
        <v>30990</v>
      </c>
      <c r="W187" s="98"/>
      <c r="X187" s="98" t="s">
        <v>448</v>
      </c>
      <c r="Y187" s="99"/>
      <c r="Z187" s="101"/>
      <c r="AA187" s="101"/>
      <c r="AB187" s="101"/>
      <c r="AC187" s="101" t="n">
        <v>2</v>
      </c>
      <c r="AD187" s="60"/>
      <c r="AE187" s="60" t="n">
        <f aca="false">M187</f>
        <v>1</v>
      </c>
      <c r="AF187" s="60" t="n">
        <f aca="false">N187</f>
        <v>2</v>
      </c>
      <c r="AG187" s="102" t="n">
        <v>0</v>
      </c>
      <c r="AH187" s="102" t="n">
        <v>0</v>
      </c>
      <c r="AI187" s="102" t="n">
        <v>1</v>
      </c>
      <c r="AJ187" s="102" t="n">
        <v>2</v>
      </c>
      <c r="AK187" s="60" t="s">
        <v>316</v>
      </c>
      <c r="AL187" s="60" t="s">
        <v>136</v>
      </c>
      <c r="AM187" s="60" t="s">
        <v>317</v>
      </c>
      <c r="AN187" s="60" t="s">
        <v>318</v>
      </c>
    </row>
    <row r="188" customFormat="false" ht="15" hidden="false" customHeight="false" outlineLevel="0" collapsed="false">
      <c r="A188" s="1" t="n">
        <v>10</v>
      </c>
      <c r="B188" s="1" t="s">
        <v>449</v>
      </c>
      <c r="C188" s="1" t="s">
        <v>197</v>
      </c>
      <c r="D188" s="1" t="n">
        <v>10</v>
      </c>
      <c r="E188" s="78" t="str">
        <f aca="false">IF(D188&gt;8,"2 de 30h","1 de 44h")</f>
        <v>2 de 30h</v>
      </c>
      <c r="F188" s="95"/>
      <c r="G188" s="1" t="n">
        <v>1</v>
      </c>
      <c r="H188" s="96"/>
      <c r="I188" s="96" t="n">
        <v>2</v>
      </c>
      <c r="J188" s="96"/>
      <c r="K188" s="78" t="n">
        <v>1</v>
      </c>
      <c r="L188" s="96" t="n">
        <f aca="false">ROUNDUP(K188/4,0)</f>
        <v>1</v>
      </c>
      <c r="M188" s="96" t="n">
        <f aca="false">I188+L188</f>
        <v>3</v>
      </c>
      <c r="N188" s="96" t="n">
        <f aca="false">J188</f>
        <v>0</v>
      </c>
      <c r="O188" s="1" t="s">
        <v>186</v>
      </c>
      <c r="P188" s="1" t="s">
        <v>186</v>
      </c>
      <c r="Q188" s="1" t="s">
        <v>186</v>
      </c>
      <c r="R188" s="1" t="s">
        <v>179</v>
      </c>
      <c r="S188" s="1" t="n">
        <v>6737</v>
      </c>
      <c r="T188" s="97" t="s">
        <v>132</v>
      </c>
      <c r="U188" s="97"/>
      <c r="V188" s="98" t="n">
        <v>16629</v>
      </c>
      <c r="W188" s="98"/>
      <c r="X188" s="98" t="s">
        <v>450</v>
      </c>
      <c r="Y188" s="99" t="s">
        <v>132</v>
      </c>
      <c r="Z188" s="100" t="n">
        <v>1</v>
      </c>
      <c r="AA188" s="100"/>
      <c r="AB188" s="100"/>
      <c r="AC188" s="100" t="n">
        <v>1</v>
      </c>
      <c r="AD188" s="96"/>
      <c r="AE188" s="96" t="n">
        <f aca="false">M188</f>
        <v>3</v>
      </c>
      <c r="AF188" s="96" t="n">
        <f aca="false">N188</f>
        <v>0</v>
      </c>
      <c r="AG188" s="31" t="n">
        <v>0</v>
      </c>
      <c r="AH188" s="31" t="n">
        <v>0</v>
      </c>
      <c r="AI188" s="31" t="n">
        <v>3</v>
      </c>
      <c r="AJ188" s="31" t="n">
        <v>0</v>
      </c>
      <c r="AK188" s="60" t="s">
        <v>316</v>
      </c>
      <c r="AL188" s="60" t="s">
        <v>136</v>
      </c>
      <c r="AM188" s="60" t="s">
        <v>317</v>
      </c>
      <c r="AN188" s="60" t="s">
        <v>318</v>
      </c>
    </row>
    <row r="189" customFormat="false" ht="15" hidden="false" customHeight="false" outlineLevel="0" collapsed="false">
      <c r="A189" s="1" t="n">
        <v>11</v>
      </c>
      <c r="B189" s="1" t="s">
        <v>451</v>
      </c>
      <c r="C189" s="1" t="s">
        <v>203</v>
      </c>
      <c r="D189" s="1" t="n">
        <v>6</v>
      </c>
      <c r="E189" s="78" t="str">
        <f aca="false">IF(D189&gt;8,"2 de 30h","1 de 44h")</f>
        <v>1 de 44h</v>
      </c>
      <c r="F189" s="95"/>
      <c r="G189" s="1" t="n">
        <v>2</v>
      </c>
      <c r="H189" s="60"/>
      <c r="I189" s="60"/>
      <c r="J189" s="60" t="n">
        <v>2</v>
      </c>
      <c r="K189" s="78" t="n">
        <v>0</v>
      </c>
      <c r="L189" s="60" t="n">
        <f aca="false">K189/4</f>
        <v>0</v>
      </c>
      <c r="M189" s="60" t="n">
        <f aca="false">I189+L189</f>
        <v>0</v>
      </c>
      <c r="N189" s="60" t="n">
        <f aca="false">J189</f>
        <v>2</v>
      </c>
      <c r="O189" s="1" t="s">
        <v>179</v>
      </c>
      <c r="P189" s="1" t="s">
        <v>436</v>
      </c>
      <c r="Q189" s="1" t="s">
        <v>179</v>
      </c>
      <c r="R189" s="1" t="s">
        <v>179</v>
      </c>
      <c r="S189" s="1" t="n">
        <v>2647</v>
      </c>
      <c r="T189" s="97"/>
      <c r="U189" s="97"/>
      <c r="V189" s="98" t="n">
        <v>24298</v>
      </c>
      <c r="W189" s="98"/>
      <c r="X189" s="98" t="s">
        <v>177</v>
      </c>
      <c r="Y189" s="99"/>
      <c r="Z189" s="101"/>
      <c r="AA189" s="101"/>
      <c r="AB189" s="101"/>
      <c r="AC189" s="101" t="n">
        <v>2</v>
      </c>
      <c r="AD189" s="60"/>
      <c r="AE189" s="60" t="n">
        <f aca="false">M189</f>
        <v>0</v>
      </c>
      <c r="AF189" s="60" t="n">
        <f aca="false">N189</f>
        <v>2</v>
      </c>
      <c r="AG189" s="102" t="n">
        <v>0</v>
      </c>
      <c r="AH189" s="102" t="n">
        <v>0</v>
      </c>
      <c r="AI189" s="102" t="n">
        <v>0</v>
      </c>
      <c r="AJ189" s="102" t="n">
        <v>2</v>
      </c>
      <c r="AK189" s="60" t="s">
        <v>316</v>
      </c>
      <c r="AL189" s="60" t="s">
        <v>136</v>
      </c>
      <c r="AM189" s="60" t="s">
        <v>317</v>
      </c>
      <c r="AN189" s="60" t="s">
        <v>318</v>
      </c>
    </row>
    <row r="190" customFormat="false" ht="15" hidden="false" customHeight="false" outlineLevel="0" collapsed="false">
      <c r="A190" s="1" t="n">
        <v>12</v>
      </c>
      <c r="B190" s="1" t="s">
        <v>452</v>
      </c>
      <c r="C190" s="1" t="s">
        <v>203</v>
      </c>
      <c r="D190" s="1" t="n">
        <v>6</v>
      </c>
      <c r="E190" s="78" t="str">
        <f aca="false">IF(D190&gt;8,"2 de 30h","1 de 44h")</f>
        <v>1 de 44h</v>
      </c>
      <c r="F190" s="95"/>
      <c r="G190" s="1" t="n">
        <v>2</v>
      </c>
      <c r="H190" s="96"/>
      <c r="I190" s="96"/>
      <c r="J190" s="96" t="n">
        <v>2</v>
      </c>
      <c r="K190" s="78" t="n">
        <v>0</v>
      </c>
      <c r="L190" s="96" t="n">
        <f aca="false">K190/4</f>
        <v>0</v>
      </c>
      <c r="M190" s="96" t="n">
        <f aca="false">I190+L190</f>
        <v>0</v>
      </c>
      <c r="N190" s="96" t="n">
        <f aca="false">J190</f>
        <v>2</v>
      </c>
      <c r="O190" s="1" t="s">
        <v>179</v>
      </c>
      <c r="P190" s="1" t="s">
        <v>436</v>
      </c>
      <c r="Q190" s="1" t="s">
        <v>179</v>
      </c>
      <c r="R190" s="1" t="s">
        <v>179</v>
      </c>
      <c r="S190" s="1" t="n">
        <v>3271</v>
      </c>
      <c r="T190" s="97"/>
      <c r="U190" s="97"/>
      <c r="V190" s="98" t="n">
        <v>25503</v>
      </c>
      <c r="W190" s="98"/>
      <c r="X190" s="98" t="s">
        <v>453</v>
      </c>
      <c r="Y190" s="99"/>
      <c r="Z190" s="100"/>
      <c r="AA190" s="100"/>
      <c r="AB190" s="100"/>
      <c r="AC190" s="100" t="n">
        <v>2</v>
      </c>
      <c r="AD190" s="96"/>
      <c r="AE190" s="96" t="n">
        <f aca="false">M190</f>
        <v>0</v>
      </c>
      <c r="AF190" s="96" t="n">
        <f aca="false">N190</f>
        <v>2</v>
      </c>
      <c r="AG190" s="31" t="n">
        <v>0</v>
      </c>
      <c r="AH190" s="31" t="n">
        <v>0</v>
      </c>
      <c r="AI190" s="31" t="n">
        <v>0</v>
      </c>
      <c r="AJ190" s="31" t="n">
        <v>2</v>
      </c>
      <c r="AK190" s="60" t="s">
        <v>316</v>
      </c>
      <c r="AL190" s="60" t="s">
        <v>136</v>
      </c>
      <c r="AM190" s="60" t="s">
        <v>317</v>
      </c>
      <c r="AN190" s="60" t="s">
        <v>318</v>
      </c>
    </row>
    <row r="191" customFormat="false" ht="15" hidden="false" customHeight="false" outlineLevel="0" collapsed="false">
      <c r="A191" s="1" t="n">
        <v>13</v>
      </c>
      <c r="B191" s="1" t="s">
        <v>454</v>
      </c>
      <c r="C191" s="1" t="s">
        <v>366</v>
      </c>
      <c r="D191" s="1" t="n">
        <v>5</v>
      </c>
      <c r="E191" s="78" t="str">
        <f aca="false">IF(D191&gt;8,"2 de 30h","1 de 44h")</f>
        <v>1 de 44h</v>
      </c>
      <c r="F191" s="95"/>
      <c r="G191" s="1" t="n">
        <v>2</v>
      </c>
      <c r="H191" s="60"/>
      <c r="I191" s="60"/>
      <c r="J191" s="60" t="n">
        <v>2</v>
      </c>
      <c r="K191" s="78" t="n">
        <v>0</v>
      </c>
      <c r="L191" s="60" t="n">
        <f aca="false">K191/4</f>
        <v>0</v>
      </c>
      <c r="M191" s="60" t="n">
        <f aca="false">I191+L191</f>
        <v>0</v>
      </c>
      <c r="N191" s="60" t="n">
        <f aca="false">J191</f>
        <v>2</v>
      </c>
      <c r="O191" s="1" t="s">
        <v>179</v>
      </c>
      <c r="P191" s="1" t="s">
        <v>436</v>
      </c>
      <c r="Q191" s="1" t="s">
        <v>179</v>
      </c>
      <c r="R191" s="1" t="s">
        <v>179</v>
      </c>
      <c r="S191" s="1" t="n">
        <v>2895</v>
      </c>
      <c r="T191" s="97"/>
      <c r="U191" s="97"/>
      <c r="V191" s="98" t="n">
        <v>19841</v>
      </c>
      <c r="W191" s="98"/>
      <c r="X191" s="98" t="s">
        <v>455</v>
      </c>
      <c r="Y191" s="99"/>
      <c r="Z191" s="101"/>
      <c r="AA191" s="101"/>
      <c r="AB191" s="101"/>
      <c r="AC191" s="101" t="n">
        <v>2</v>
      </c>
      <c r="AD191" s="60"/>
      <c r="AE191" s="60" t="n">
        <f aca="false">M191</f>
        <v>0</v>
      </c>
      <c r="AF191" s="60" t="n">
        <f aca="false">N191</f>
        <v>2</v>
      </c>
      <c r="AG191" s="102" t="n">
        <v>0</v>
      </c>
      <c r="AH191" s="102" t="n">
        <v>0</v>
      </c>
      <c r="AI191" s="102" t="n">
        <v>0</v>
      </c>
      <c r="AJ191" s="102" t="n">
        <v>2</v>
      </c>
      <c r="AK191" s="60" t="s">
        <v>316</v>
      </c>
      <c r="AL191" s="60" t="s">
        <v>136</v>
      </c>
      <c r="AM191" s="60" t="s">
        <v>317</v>
      </c>
      <c r="AN191" s="60" t="s">
        <v>318</v>
      </c>
    </row>
    <row r="192" customFormat="false" ht="9" hidden="false" customHeight="true" outlineLevel="0" collapsed="false">
      <c r="A192" s="106"/>
      <c r="B192" s="106"/>
      <c r="C192" s="106"/>
      <c r="D192" s="106"/>
      <c r="E192" s="107"/>
      <c r="F192" s="111"/>
      <c r="G192" s="106"/>
      <c r="H192" s="108"/>
      <c r="I192" s="108"/>
      <c r="J192" s="108"/>
      <c r="K192" s="107"/>
      <c r="L192" s="108"/>
      <c r="M192" s="108"/>
      <c r="N192" s="108"/>
      <c r="O192" s="106"/>
      <c r="P192" s="106"/>
      <c r="Q192" s="106"/>
      <c r="R192" s="106"/>
      <c r="S192" s="106"/>
      <c r="T192" s="109"/>
      <c r="U192" s="109"/>
      <c r="V192" s="109"/>
      <c r="W192" s="109"/>
      <c r="X192" s="109"/>
      <c r="Y192" s="109"/>
      <c r="Z192" s="110"/>
      <c r="AA192" s="110"/>
      <c r="AB192" s="110"/>
      <c r="AC192" s="110"/>
      <c r="AD192" s="108"/>
      <c r="AE192" s="108"/>
      <c r="AF192" s="108"/>
      <c r="AG192" s="108"/>
      <c r="AH192" s="108"/>
      <c r="AI192" s="108"/>
      <c r="AJ192" s="108"/>
      <c r="AK192" s="108"/>
      <c r="AL192" s="108"/>
      <c r="AM192" s="108"/>
      <c r="AN192" s="108"/>
    </row>
    <row r="193" customFormat="false" ht="15" hidden="false" customHeight="false" outlineLevel="0" collapsed="false">
      <c r="A193" s="1" t="n">
        <v>1</v>
      </c>
      <c r="B193" s="1" t="s">
        <v>52</v>
      </c>
      <c r="C193" s="1" t="s">
        <v>128</v>
      </c>
      <c r="F193" s="95"/>
      <c r="G193" s="1" t="n">
        <v>1</v>
      </c>
      <c r="H193" s="60" t="n">
        <v>1</v>
      </c>
      <c r="I193" s="60"/>
      <c r="J193" s="60" t="n">
        <v>0</v>
      </c>
      <c r="K193" s="78" t="n">
        <v>0</v>
      </c>
      <c r="L193" s="60" t="n">
        <f aca="false">K193/4</f>
        <v>0</v>
      </c>
      <c r="M193" s="60" t="n">
        <f aca="false">I193+L193</f>
        <v>0</v>
      </c>
      <c r="N193" s="60" t="n">
        <f aca="false">J193</f>
        <v>0</v>
      </c>
      <c r="O193" s="1" t="s">
        <v>179</v>
      </c>
      <c r="P193" s="1" t="s">
        <v>224</v>
      </c>
      <c r="Q193" s="1" t="s">
        <v>179</v>
      </c>
      <c r="R193" s="1" t="s">
        <v>179</v>
      </c>
      <c r="S193" s="1" t="n">
        <v>139135</v>
      </c>
      <c r="T193" s="97"/>
      <c r="U193" s="97"/>
      <c r="V193" s="98" t="n">
        <v>261031</v>
      </c>
      <c r="W193" s="98" t="s">
        <v>456</v>
      </c>
      <c r="X193" s="98" t="s">
        <v>457</v>
      </c>
      <c r="Y193" s="99"/>
      <c r="Z193" s="101"/>
      <c r="AA193" s="101"/>
      <c r="AB193" s="101"/>
      <c r="AC193" s="101"/>
      <c r="AD193" s="60" t="n">
        <f aca="false">H193</f>
        <v>1</v>
      </c>
      <c r="AE193" s="60" t="n">
        <f aca="false">M193</f>
        <v>0</v>
      </c>
      <c r="AF193" s="60" t="n">
        <f aca="false">N193</f>
        <v>0</v>
      </c>
      <c r="AG193" s="102" t="n">
        <v>1</v>
      </c>
      <c r="AH193" s="102" t="n">
        <v>0</v>
      </c>
      <c r="AI193" s="102" t="n">
        <v>0</v>
      </c>
      <c r="AJ193" s="102" t="n">
        <v>0</v>
      </c>
      <c r="AK193" s="60" t="s">
        <v>458</v>
      </c>
      <c r="AL193" s="60" t="s">
        <v>136</v>
      </c>
      <c r="AM193" s="60" t="s">
        <v>317</v>
      </c>
      <c r="AN193" s="60" t="s">
        <v>318</v>
      </c>
    </row>
    <row r="194" customFormat="false" ht="15" hidden="false" customHeight="false" outlineLevel="0" collapsed="false">
      <c r="A194" s="1" t="n">
        <v>2</v>
      </c>
      <c r="B194" s="1" t="s">
        <v>53</v>
      </c>
      <c r="C194" s="1" t="s">
        <v>381</v>
      </c>
      <c r="D194" s="1" t="n">
        <v>6</v>
      </c>
      <c r="E194" s="78" t="str">
        <f aca="false">IF(D194&gt;8,"2 de 30h","1 de 44h")</f>
        <v>1 de 44h</v>
      </c>
      <c r="F194" s="95"/>
      <c r="G194" s="1" t="n">
        <v>1</v>
      </c>
      <c r="H194" s="96"/>
      <c r="I194" s="96"/>
      <c r="J194" s="96" t="n">
        <v>1</v>
      </c>
      <c r="K194" s="78" t="n">
        <v>0</v>
      </c>
      <c r="L194" s="96" t="n">
        <f aca="false">K194/4</f>
        <v>0</v>
      </c>
      <c r="M194" s="96" t="n">
        <f aca="false">I194+L194</f>
        <v>0</v>
      </c>
      <c r="N194" s="96" t="n">
        <f aca="false">J194</f>
        <v>1</v>
      </c>
      <c r="O194" s="1" t="s">
        <v>186</v>
      </c>
      <c r="P194" s="1" t="s">
        <v>224</v>
      </c>
      <c r="Q194" s="1" t="s">
        <v>186</v>
      </c>
      <c r="R194" s="1" t="s">
        <v>186</v>
      </c>
      <c r="S194" s="1" t="n">
        <v>4604</v>
      </c>
      <c r="T194" s="97"/>
      <c r="U194" s="97"/>
      <c r="V194" s="98" t="n">
        <v>33690</v>
      </c>
      <c r="W194" s="98"/>
      <c r="X194" s="98" t="s">
        <v>218</v>
      </c>
      <c r="Y194" s="99"/>
      <c r="Z194" s="100"/>
      <c r="AA194" s="100"/>
      <c r="AB194" s="100" t="n">
        <v>2</v>
      </c>
      <c r="AC194" s="100"/>
      <c r="AD194" s="96"/>
      <c r="AE194" s="96" t="n">
        <f aca="false">M194</f>
        <v>0</v>
      </c>
      <c r="AF194" s="96" t="n">
        <f aca="false">N194</f>
        <v>1</v>
      </c>
      <c r="AG194" s="31" t="n">
        <v>0</v>
      </c>
      <c r="AH194" s="31" t="n">
        <v>0</v>
      </c>
      <c r="AI194" s="31" t="n">
        <v>0</v>
      </c>
      <c r="AJ194" s="31" t="n">
        <v>1</v>
      </c>
      <c r="AK194" s="60" t="s">
        <v>316</v>
      </c>
      <c r="AL194" s="60" t="s">
        <v>136</v>
      </c>
      <c r="AM194" s="60" t="s">
        <v>317</v>
      </c>
      <c r="AN194" s="60" t="s">
        <v>318</v>
      </c>
    </row>
    <row r="195" customFormat="false" ht="15" hidden="false" customHeight="false" outlineLevel="0" collapsed="false">
      <c r="A195" s="1" t="n">
        <v>3</v>
      </c>
      <c r="B195" s="1" t="s">
        <v>55</v>
      </c>
      <c r="C195" s="1" t="s">
        <v>381</v>
      </c>
      <c r="D195" s="1" t="n">
        <v>6</v>
      </c>
      <c r="E195" s="78" t="str">
        <f aca="false">IF(D195&gt;8,"2 de 30h","1 de 44h")</f>
        <v>1 de 44h</v>
      </c>
      <c r="F195" s="95"/>
      <c r="G195" s="1" t="n">
        <v>1</v>
      </c>
      <c r="H195" s="60"/>
      <c r="I195" s="60"/>
      <c r="J195" s="60" t="n">
        <v>1</v>
      </c>
      <c r="K195" s="78" t="n">
        <v>3</v>
      </c>
      <c r="L195" s="60" t="n">
        <f aca="false">ROUNDUP(K195/4,0)</f>
        <v>1</v>
      </c>
      <c r="M195" s="60" t="n">
        <f aca="false">I195+L195</f>
        <v>1</v>
      </c>
      <c r="N195" s="60" t="n">
        <f aca="false">J195</f>
        <v>1</v>
      </c>
      <c r="O195" s="1" t="s">
        <v>179</v>
      </c>
      <c r="P195" s="1" t="s">
        <v>229</v>
      </c>
      <c r="Q195" s="1" t="s">
        <v>186</v>
      </c>
      <c r="R195" s="1" t="s">
        <v>186</v>
      </c>
      <c r="S195" s="1" t="n">
        <v>16585</v>
      </c>
      <c r="T195" s="97"/>
      <c r="U195" s="97"/>
      <c r="V195" s="98" t="n">
        <v>83827</v>
      </c>
      <c r="W195" s="98"/>
      <c r="X195" s="98" t="s">
        <v>459</v>
      </c>
      <c r="Y195" s="99"/>
      <c r="Z195" s="101"/>
      <c r="AA195" s="101"/>
      <c r="AB195" s="101" t="n">
        <v>3</v>
      </c>
      <c r="AC195" s="101"/>
      <c r="AD195" s="60"/>
      <c r="AE195" s="60" t="n">
        <f aca="false">M195</f>
        <v>1</v>
      </c>
      <c r="AF195" s="60" t="n">
        <f aca="false">N195</f>
        <v>1</v>
      </c>
      <c r="AG195" s="102" t="n">
        <v>0</v>
      </c>
      <c r="AH195" s="102" t="n">
        <v>0</v>
      </c>
      <c r="AI195" s="102" t="n">
        <v>1</v>
      </c>
      <c r="AJ195" s="102" t="n">
        <v>1</v>
      </c>
      <c r="AK195" s="60" t="s">
        <v>316</v>
      </c>
      <c r="AL195" s="60" t="s">
        <v>136</v>
      </c>
      <c r="AM195" s="60" t="s">
        <v>317</v>
      </c>
      <c r="AN195" s="60" t="s">
        <v>318</v>
      </c>
    </row>
    <row r="196" customFormat="false" ht="15" hidden="false" customHeight="false" outlineLevel="0" collapsed="false">
      <c r="A196" s="1" t="n">
        <v>4</v>
      </c>
      <c r="B196" s="1" t="s">
        <v>56</v>
      </c>
      <c r="C196" s="1" t="s">
        <v>381</v>
      </c>
      <c r="D196" s="1" t="n">
        <v>6</v>
      </c>
      <c r="E196" s="78" t="str">
        <f aca="false">IF(D196&gt;8,"2 de 30h","1 de 44h")</f>
        <v>1 de 44h</v>
      </c>
      <c r="F196" s="95"/>
      <c r="G196" s="1" t="n">
        <v>1</v>
      </c>
      <c r="H196" s="96"/>
      <c r="I196" s="96"/>
      <c r="J196" s="96" t="n">
        <v>1</v>
      </c>
      <c r="K196" s="78" t="n">
        <v>0</v>
      </c>
      <c r="L196" s="96" t="n">
        <f aca="false">K196/4</f>
        <v>0</v>
      </c>
      <c r="M196" s="96" t="n">
        <f aca="false">I196+L196</f>
        <v>0</v>
      </c>
      <c r="N196" s="96" t="n">
        <f aca="false">J196</f>
        <v>1</v>
      </c>
      <c r="O196" s="1" t="s">
        <v>179</v>
      </c>
      <c r="P196" s="1" t="s">
        <v>229</v>
      </c>
      <c r="Q196" s="1" t="s">
        <v>186</v>
      </c>
      <c r="R196" s="1" t="s">
        <v>186</v>
      </c>
      <c r="S196" s="1" t="n">
        <v>5996</v>
      </c>
      <c r="T196" s="97"/>
      <c r="U196" s="97"/>
      <c r="V196" s="98" t="n">
        <v>30171</v>
      </c>
      <c r="W196" s="98"/>
      <c r="X196" s="98" t="s">
        <v>460</v>
      </c>
      <c r="Y196" s="99"/>
      <c r="Z196" s="100"/>
      <c r="AA196" s="100"/>
      <c r="AB196" s="100" t="n">
        <v>2</v>
      </c>
      <c r="AC196" s="100"/>
      <c r="AD196" s="96"/>
      <c r="AE196" s="96" t="n">
        <f aca="false">M196</f>
        <v>0</v>
      </c>
      <c r="AF196" s="96" t="n">
        <f aca="false">N196</f>
        <v>1</v>
      </c>
      <c r="AG196" s="31" t="n">
        <v>0</v>
      </c>
      <c r="AH196" s="31" t="n">
        <v>0</v>
      </c>
      <c r="AI196" s="31" t="n">
        <v>0</v>
      </c>
      <c r="AJ196" s="31" t="n">
        <v>1</v>
      </c>
      <c r="AK196" s="60" t="s">
        <v>316</v>
      </c>
      <c r="AL196" s="60" t="s">
        <v>136</v>
      </c>
      <c r="AM196" s="60" t="s">
        <v>317</v>
      </c>
      <c r="AN196" s="60" t="s">
        <v>318</v>
      </c>
    </row>
    <row r="197" customFormat="false" ht="15" hidden="false" customHeight="false" outlineLevel="0" collapsed="false">
      <c r="A197" s="1" t="n">
        <v>5</v>
      </c>
      <c r="B197" s="1" t="s">
        <v>59</v>
      </c>
      <c r="C197" s="1" t="s">
        <v>381</v>
      </c>
      <c r="D197" s="1" t="n">
        <v>6</v>
      </c>
      <c r="E197" s="78" t="str">
        <f aca="false">IF(D197&gt;8,"2 de 30h","1 de 44h")</f>
        <v>1 de 44h</v>
      </c>
      <c r="F197" s="95"/>
      <c r="G197" s="1" t="n">
        <v>1</v>
      </c>
      <c r="H197" s="60"/>
      <c r="I197" s="60"/>
      <c r="J197" s="60" t="n">
        <v>1</v>
      </c>
      <c r="K197" s="78" t="n">
        <v>1</v>
      </c>
      <c r="L197" s="60" t="n">
        <f aca="false">ROUNDUP(K197/4,0)</f>
        <v>1</v>
      </c>
      <c r="M197" s="60" t="n">
        <f aca="false">I197+L197</f>
        <v>1</v>
      </c>
      <c r="N197" s="60" t="n">
        <f aca="false">J197</f>
        <v>1</v>
      </c>
      <c r="O197" s="1" t="s">
        <v>186</v>
      </c>
      <c r="P197" s="1" t="s">
        <v>224</v>
      </c>
      <c r="Q197" s="1" t="s">
        <v>186</v>
      </c>
      <c r="R197" s="1" t="s">
        <v>186</v>
      </c>
      <c r="S197" s="1" t="n">
        <v>6407</v>
      </c>
      <c r="T197" s="97"/>
      <c r="U197" s="97"/>
      <c r="V197" s="98" t="n">
        <v>37591</v>
      </c>
      <c r="W197" s="98"/>
      <c r="X197" s="98" t="s">
        <v>396</v>
      </c>
      <c r="Y197" s="99"/>
      <c r="Z197" s="101"/>
      <c r="AA197" s="101"/>
      <c r="AB197" s="101" t="n">
        <v>2</v>
      </c>
      <c r="AC197" s="101"/>
      <c r="AD197" s="60"/>
      <c r="AE197" s="60" t="n">
        <f aca="false">M197</f>
        <v>1</v>
      </c>
      <c r="AF197" s="60" t="n">
        <f aca="false">N197</f>
        <v>1</v>
      </c>
      <c r="AG197" s="102" t="n">
        <v>0</v>
      </c>
      <c r="AH197" s="102" t="n">
        <v>0</v>
      </c>
      <c r="AI197" s="102" t="n">
        <v>1</v>
      </c>
      <c r="AJ197" s="102" t="n">
        <v>1</v>
      </c>
      <c r="AK197" s="60" t="s">
        <v>404</v>
      </c>
      <c r="AL197" s="60" t="s">
        <v>136</v>
      </c>
      <c r="AM197" s="60" t="s">
        <v>317</v>
      </c>
      <c r="AN197" s="60" t="s">
        <v>318</v>
      </c>
    </row>
    <row r="198" customFormat="false" ht="15" hidden="false" customHeight="false" outlineLevel="0" collapsed="false">
      <c r="A198" s="1" t="n">
        <v>6</v>
      </c>
      <c r="B198" s="1" t="s">
        <v>60</v>
      </c>
      <c r="C198" s="1" t="s">
        <v>381</v>
      </c>
      <c r="D198" s="1" t="n">
        <v>6</v>
      </c>
      <c r="E198" s="78" t="s">
        <v>145</v>
      </c>
      <c r="F198" s="95"/>
      <c r="G198" s="1" t="n">
        <v>1</v>
      </c>
      <c r="H198" s="96"/>
      <c r="I198" s="96" t="n">
        <v>2</v>
      </c>
      <c r="J198" s="96" t="n">
        <v>0</v>
      </c>
      <c r="K198" s="78" t="n">
        <v>4</v>
      </c>
      <c r="L198" s="96" t="n">
        <f aca="false">K198/4</f>
        <v>1</v>
      </c>
      <c r="M198" s="96" t="n">
        <f aca="false">I198+L198</f>
        <v>3</v>
      </c>
      <c r="N198" s="96" t="n">
        <f aca="false">J198</f>
        <v>0</v>
      </c>
      <c r="O198" s="1" t="s">
        <v>179</v>
      </c>
      <c r="P198" s="1" t="s">
        <v>229</v>
      </c>
      <c r="Q198" s="1" t="s">
        <v>186</v>
      </c>
      <c r="R198" s="1" t="s">
        <v>186</v>
      </c>
      <c r="S198" s="1" t="n">
        <v>28002</v>
      </c>
      <c r="T198" s="97"/>
      <c r="U198" s="97"/>
      <c r="V198" s="98" t="n">
        <v>118374</v>
      </c>
      <c r="W198" s="98" t="s">
        <v>461</v>
      </c>
      <c r="X198" s="98" t="s">
        <v>370</v>
      </c>
      <c r="Y198" s="99" t="s">
        <v>132</v>
      </c>
      <c r="Z198" s="100"/>
      <c r="AA198" s="100"/>
      <c r="AB198" s="100" t="n">
        <v>2</v>
      </c>
      <c r="AC198" s="100" t="n">
        <v>1</v>
      </c>
      <c r="AD198" s="96"/>
      <c r="AE198" s="96" t="n">
        <f aca="false">M198</f>
        <v>3</v>
      </c>
      <c r="AF198" s="96" t="n">
        <f aca="false">N198</f>
        <v>0</v>
      </c>
      <c r="AG198" s="31" t="n">
        <v>0</v>
      </c>
      <c r="AH198" s="31" t="n">
        <v>0</v>
      </c>
      <c r="AI198" s="31" t="n">
        <v>3</v>
      </c>
      <c r="AJ198" s="31" t="n">
        <v>0</v>
      </c>
      <c r="AK198" s="60" t="s">
        <v>404</v>
      </c>
      <c r="AL198" s="60" t="s">
        <v>136</v>
      </c>
      <c r="AM198" s="60" t="s">
        <v>317</v>
      </c>
      <c r="AN198" s="60" t="s">
        <v>318</v>
      </c>
    </row>
    <row r="199" customFormat="false" ht="15" hidden="false" customHeight="false" outlineLevel="0" collapsed="false">
      <c r="A199" s="1" t="n">
        <v>7</v>
      </c>
      <c r="B199" s="1" t="s">
        <v>462</v>
      </c>
      <c r="C199" s="1" t="s">
        <v>381</v>
      </c>
      <c r="D199" s="1" t="n">
        <v>6</v>
      </c>
      <c r="E199" s="78" t="str">
        <f aca="false">IF(D199&gt;8,"2 de 30h","1 de 44h")</f>
        <v>1 de 44h</v>
      </c>
      <c r="F199" s="95"/>
      <c r="G199" s="1" t="n">
        <v>1</v>
      </c>
      <c r="H199" s="60"/>
      <c r="I199" s="60"/>
      <c r="J199" s="60" t="n">
        <v>1</v>
      </c>
      <c r="K199" s="78" t="n">
        <v>8</v>
      </c>
      <c r="L199" s="60" t="n">
        <f aca="false">K199/4</f>
        <v>2</v>
      </c>
      <c r="M199" s="60" t="n">
        <f aca="false">I199+L199</f>
        <v>2</v>
      </c>
      <c r="N199" s="60" t="n">
        <f aca="false">J199</f>
        <v>1</v>
      </c>
      <c r="O199" s="1" t="s">
        <v>179</v>
      </c>
      <c r="P199" s="1" t="s">
        <v>224</v>
      </c>
      <c r="Q199" s="1" t="s">
        <v>179</v>
      </c>
      <c r="R199" s="1" t="s">
        <v>179</v>
      </c>
      <c r="S199" s="1" t="n">
        <v>40795</v>
      </c>
      <c r="T199" s="97"/>
      <c r="U199" s="97"/>
      <c r="V199" s="98"/>
      <c r="W199" s="98"/>
      <c r="X199" s="98"/>
      <c r="Y199" s="99"/>
      <c r="Z199" s="101"/>
      <c r="AA199" s="101"/>
      <c r="AB199" s="101" t="n">
        <v>2</v>
      </c>
      <c r="AC199" s="101" t="n">
        <v>1</v>
      </c>
      <c r="AD199" s="60"/>
      <c r="AE199" s="60" t="n">
        <f aca="false">M199</f>
        <v>2</v>
      </c>
      <c r="AF199" s="60" t="n">
        <f aca="false">N199</f>
        <v>1</v>
      </c>
      <c r="AG199" s="102" t="n">
        <v>0</v>
      </c>
      <c r="AH199" s="102" t="n">
        <v>0</v>
      </c>
      <c r="AI199" s="102" t="n">
        <v>2</v>
      </c>
      <c r="AJ199" s="102" t="n">
        <v>1</v>
      </c>
      <c r="AK199" s="60" t="s">
        <v>458</v>
      </c>
      <c r="AL199" s="60" t="s">
        <v>136</v>
      </c>
      <c r="AM199" s="60" t="s">
        <v>317</v>
      </c>
      <c r="AN199" s="60" t="s">
        <v>318</v>
      </c>
    </row>
    <row r="200" customFormat="false" ht="15" hidden="false" customHeight="false" outlineLevel="0" collapsed="false">
      <c r="A200" s="1" t="n">
        <v>8</v>
      </c>
      <c r="B200" s="1" t="s">
        <v>63</v>
      </c>
      <c r="C200" s="1" t="s">
        <v>381</v>
      </c>
      <c r="D200" s="1" t="n">
        <v>6</v>
      </c>
      <c r="E200" s="78" t="str">
        <f aca="false">IF(D200&gt;8,"2 de 30h","1 de 44h")</f>
        <v>1 de 44h</v>
      </c>
      <c r="F200" s="95"/>
      <c r="G200" s="1" t="n">
        <v>1</v>
      </c>
      <c r="H200" s="96"/>
      <c r="I200" s="96"/>
      <c r="J200" s="96" t="n">
        <v>1</v>
      </c>
      <c r="K200" s="78" t="n">
        <v>1</v>
      </c>
      <c r="L200" s="96" t="n">
        <f aca="false">ROUNDUP(K200/4,0)</f>
        <v>1</v>
      </c>
      <c r="M200" s="96" t="n">
        <f aca="false">I200+L200</f>
        <v>1</v>
      </c>
      <c r="N200" s="96" t="n">
        <f aca="false">J200</f>
        <v>1</v>
      </c>
      <c r="O200" s="1" t="s">
        <v>179</v>
      </c>
      <c r="P200" s="1" t="s">
        <v>229</v>
      </c>
      <c r="Q200" s="1" t="s">
        <v>186</v>
      </c>
      <c r="R200" s="1" t="s">
        <v>186</v>
      </c>
      <c r="S200" s="1" t="n">
        <v>8455</v>
      </c>
      <c r="T200" s="97"/>
      <c r="U200" s="97"/>
      <c r="V200" s="98" t="n">
        <v>49071</v>
      </c>
      <c r="W200" s="98"/>
      <c r="X200" s="98" t="s">
        <v>372</v>
      </c>
      <c r="Y200" s="99"/>
      <c r="Z200" s="100"/>
      <c r="AA200" s="100"/>
      <c r="AB200" s="100" t="n">
        <v>2</v>
      </c>
      <c r="AC200" s="100"/>
      <c r="AD200" s="96"/>
      <c r="AE200" s="96" t="n">
        <f aca="false">M200</f>
        <v>1</v>
      </c>
      <c r="AF200" s="96" t="n">
        <f aca="false">N200</f>
        <v>1</v>
      </c>
      <c r="AG200" s="31" t="n">
        <v>0</v>
      </c>
      <c r="AH200" s="31" t="n">
        <v>0</v>
      </c>
      <c r="AI200" s="31" t="n">
        <v>1</v>
      </c>
      <c r="AJ200" s="31" t="n">
        <v>1</v>
      </c>
      <c r="AK200" s="60" t="s">
        <v>316</v>
      </c>
      <c r="AL200" s="60" t="s">
        <v>136</v>
      </c>
      <c r="AM200" s="60" t="s">
        <v>317</v>
      </c>
      <c r="AN200" s="60" t="s">
        <v>318</v>
      </c>
    </row>
    <row r="201" customFormat="false" ht="15" hidden="false" customHeight="false" outlineLevel="0" collapsed="false">
      <c r="A201" s="1" t="n">
        <v>9</v>
      </c>
      <c r="B201" s="1" t="s">
        <v>66</v>
      </c>
      <c r="C201" s="1" t="s">
        <v>381</v>
      </c>
      <c r="D201" s="1" t="n">
        <v>6</v>
      </c>
      <c r="E201" s="78" t="str">
        <f aca="false">IF(D201&gt;8,"2 de 30h","1 de 44h")</f>
        <v>1 de 44h</v>
      </c>
      <c r="F201" s="95"/>
      <c r="G201" s="1" t="n">
        <v>1</v>
      </c>
      <c r="H201" s="60"/>
      <c r="I201" s="60"/>
      <c r="J201" s="60" t="n">
        <v>1</v>
      </c>
      <c r="K201" s="78" t="n">
        <v>2</v>
      </c>
      <c r="L201" s="60" t="n">
        <f aca="false">ROUNDUP(K201/4,0)</f>
        <v>1</v>
      </c>
      <c r="M201" s="60" t="n">
        <f aca="false">I201+L201</f>
        <v>1</v>
      </c>
      <c r="N201" s="60" t="n">
        <f aca="false">J201</f>
        <v>1</v>
      </c>
      <c r="O201" s="1" t="s">
        <v>179</v>
      </c>
      <c r="P201" s="1" t="s">
        <v>229</v>
      </c>
      <c r="Q201" s="1" t="s">
        <v>179</v>
      </c>
      <c r="R201" s="1" t="s">
        <v>179</v>
      </c>
      <c r="S201" s="1" t="n">
        <v>10433</v>
      </c>
      <c r="T201" s="97"/>
      <c r="U201" s="97"/>
      <c r="V201" s="98" t="n">
        <v>65946</v>
      </c>
      <c r="W201" s="98"/>
      <c r="X201" s="98" t="s">
        <v>448</v>
      </c>
      <c r="Y201" s="99"/>
      <c r="Z201" s="101"/>
      <c r="AA201" s="101"/>
      <c r="AB201" s="101" t="n">
        <v>2</v>
      </c>
      <c r="AC201" s="101"/>
      <c r="AD201" s="60"/>
      <c r="AE201" s="60" t="n">
        <f aca="false">M201</f>
        <v>1</v>
      </c>
      <c r="AF201" s="60" t="n">
        <f aca="false">N201</f>
        <v>1</v>
      </c>
      <c r="AG201" s="102" t="n">
        <v>0</v>
      </c>
      <c r="AH201" s="102" t="n">
        <v>0</v>
      </c>
      <c r="AI201" s="102" t="n">
        <v>1</v>
      </c>
      <c r="AJ201" s="102" t="n">
        <v>1</v>
      </c>
      <c r="AK201" s="60" t="s">
        <v>404</v>
      </c>
      <c r="AL201" s="60" t="s">
        <v>136</v>
      </c>
      <c r="AM201" s="60" t="s">
        <v>317</v>
      </c>
      <c r="AN201" s="60" t="s">
        <v>318</v>
      </c>
    </row>
    <row r="202" customFormat="false" ht="15" hidden="false" customHeight="false" outlineLevel="0" collapsed="false">
      <c r="A202" s="1" t="n">
        <v>10</v>
      </c>
      <c r="B202" s="1" t="s">
        <v>54</v>
      </c>
      <c r="C202" s="1" t="s">
        <v>381</v>
      </c>
      <c r="D202" s="1" t="n">
        <v>6</v>
      </c>
      <c r="E202" s="78" t="str">
        <f aca="false">IF(D202&gt;8,"2 de 30h","1 de 44h")</f>
        <v>1 de 44h</v>
      </c>
      <c r="F202" s="95"/>
      <c r="G202" s="1" t="n">
        <v>1</v>
      </c>
      <c r="H202" s="96"/>
      <c r="I202" s="96"/>
      <c r="J202" s="96" t="n">
        <v>1</v>
      </c>
      <c r="K202" s="78" t="n">
        <v>0</v>
      </c>
      <c r="L202" s="96" t="n">
        <f aca="false">K202/4</f>
        <v>0</v>
      </c>
      <c r="M202" s="96" t="n">
        <f aca="false">I202+L202</f>
        <v>0</v>
      </c>
      <c r="N202" s="96" t="n">
        <f aca="false">J202</f>
        <v>1</v>
      </c>
      <c r="O202" s="1" t="s">
        <v>179</v>
      </c>
      <c r="P202" s="1" t="s">
        <v>229</v>
      </c>
      <c r="Q202" s="1" t="s">
        <v>179</v>
      </c>
      <c r="R202" s="1" t="s">
        <v>186</v>
      </c>
      <c r="S202" s="1" t="n">
        <v>3763</v>
      </c>
      <c r="T202" s="97"/>
      <c r="U202" s="97"/>
      <c r="V202" s="98" t="n">
        <v>13676</v>
      </c>
      <c r="W202" s="98"/>
      <c r="X202" s="98" t="s">
        <v>463</v>
      </c>
      <c r="Y202" s="99"/>
      <c r="Z202" s="100"/>
      <c r="AA202" s="100"/>
      <c r="AB202" s="100" t="n">
        <v>2</v>
      </c>
      <c r="AC202" s="100"/>
      <c r="AD202" s="96"/>
      <c r="AE202" s="96" t="n">
        <f aca="false">M202</f>
        <v>0</v>
      </c>
      <c r="AF202" s="96" t="n">
        <f aca="false">N202</f>
        <v>1</v>
      </c>
      <c r="AG202" s="31" t="n">
        <v>0</v>
      </c>
      <c r="AH202" s="31" t="n">
        <v>0</v>
      </c>
      <c r="AI202" s="31" t="n">
        <v>0</v>
      </c>
      <c r="AJ202" s="31" t="n">
        <v>1</v>
      </c>
      <c r="AK202" s="60" t="s">
        <v>316</v>
      </c>
      <c r="AL202" s="60" t="s">
        <v>136</v>
      </c>
      <c r="AM202" s="60" t="s">
        <v>317</v>
      </c>
      <c r="AN202" s="60" t="s">
        <v>318</v>
      </c>
    </row>
    <row r="203" customFormat="false" ht="15" hidden="false" customHeight="false" outlineLevel="0" collapsed="false">
      <c r="A203" s="1" t="n">
        <v>11</v>
      </c>
      <c r="B203" s="1" t="s">
        <v>58</v>
      </c>
      <c r="C203" s="1" t="s">
        <v>381</v>
      </c>
      <c r="D203" s="1" t="n">
        <v>6</v>
      </c>
      <c r="E203" s="78" t="str">
        <f aca="false">IF(D203&gt;8,"2 de 30h","1 de 44h")</f>
        <v>1 de 44h</v>
      </c>
      <c r="F203" s="95"/>
      <c r="G203" s="1" t="n">
        <v>1</v>
      </c>
      <c r="H203" s="60"/>
      <c r="I203" s="60"/>
      <c r="J203" s="60" t="n">
        <v>1</v>
      </c>
      <c r="K203" s="78" t="n">
        <v>0</v>
      </c>
      <c r="L203" s="60" t="n">
        <f aca="false">K203/4</f>
        <v>0</v>
      </c>
      <c r="M203" s="60" t="n">
        <f aca="false">I203+L203</f>
        <v>0</v>
      </c>
      <c r="N203" s="60" t="n">
        <f aca="false">J203</f>
        <v>1</v>
      </c>
      <c r="O203" s="1" t="s">
        <v>186</v>
      </c>
      <c r="P203" s="1" t="s">
        <v>224</v>
      </c>
      <c r="Q203" s="1" t="s">
        <v>186</v>
      </c>
      <c r="R203" s="1" t="s">
        <v>186</v>
      </c>
      <c r="S203" s="1" t="n">
        <v>2809</v>
      </c>
      <c r="T203" s="97"/>
      <c r="U203" s="97"/>
      <c r="V203" s="98" t="n">
        <v>19579</v>
      </c>
      <c r="W203" s="98"/>
      <c r="X203" s="98" t="s">
        <v>277</v>
      </c>
      <c r="Y203" s="99"/>
      <c r="Z203" s="101"/>
      <c r="AA203" s="101"/>
      <c r="AB203" s="101" t="n">
        <v>2</v>
      </c>
      <c r="AC203" s="101"/>
      <c r="AD203" s="60"/>
      <c r="AE203" s="60" t="n">
        <f aca="false">M203</f>
        <v>0</v>
      </c>
      <c r="AF203" s="60" t="n">
        <f aca="false">N203</f>
        <v>1</v>
      </c>
      <c r="AG203" s="102" t="n">
        <v>0</v>
      </c>
      <c r="AH203" s="102" t="n">
        <v>0</v>
      </c>
      <c r="AI203" s="102" t="n">
        <v>0</v>
      </c>
      <c r="AJ203" s="102" t="n">
        <v>1</v>
      </c>
      <c r="AK203" s="60" t="s">
        <v>316</v>
      </c>
      <c r="AL203" s="60" t="s">
        <v>136</v>
      </c>
      <c r="AM203" s="60" t="s">
        <v>317</v>
      </c>
      <c r="AN203" s="60" t="s">
        <v>318</v>
      </c>
    </row>
    <row r="204" customFormat="false" ht="15" hidden="false" customHeight="false" outlineLevel="0" collapsed="false">
      <c r="A204" s="1" t="n">
        <v>12</v>
      </c>
      <c r="B204" s="1" t="s">
        <v>464</v>
      </c>
      <c r="C204" s="1" t="s">
        <v>381</v>
      </c>
      <c r="D204" s="1" t="n">
        <v>6</v>
      </c>
      <c r="E204" s="78" t="str">
        <f aca="false">IF(D204&gt;8,"2 de 30h","1 de 44h")</f>
        <v>1 de 44h</v>
      </c>
      <c r="F204" s="95"/>
      <c r="G204" s="1" t="n">
        <v>1</v>
      </c>
      <c r="H204" s="96"/>
      <c r="I204" s="96"/>
      <c r="J204" s="96" t="n">
        <v>1</v>
      </c>
      <c r="K204" s="78" t="n">
        <v>1</v>
      </c>
      <c r="L204" s="96" t="n">
        <f aca="false">ROUNDUP(K204/4,0)</f>
        <v>1</v>
      </c>
      <c r="M204" s="96" t="n">
        <f aca="false">I204+L204</f>
        <v>1</v>
      </c>
      <c r="N204" s="96" t="n">
        <f aca="false">J204</f>
        <v>1</v>
      </c>
      <c r="O204" s="1" t="s">
        <v>179</v>
      </c>
      <c r="P204" s="1" t="s">
        <v>229</v>
      </c>
      <c r="Q204" s="1" t="s">
        <v>186</v>
      </c>
      <c r="R204" s="1" t="s">
        <v>186</v>
      </c>
      <c r="S204" s="1" t="n">
        <v>3208</v>
      </c>
      <c r="T204" s="97"/>
      <c r="U204" s="97"/>
      <c r="V204" s="98" t="n">
        <v>14283</v>
      </c>
      <c r="W204" s="98"/>
      <c r="X204" s="98" t="s">
        <v>239</v>
      </c>
      <c r="Y204" s="99"/>
      <c r="Z204" s="100"/>
      <c r="AA204" s="100"/>
      <c r="AB204" s="100" t="n">
        <v>2</v>
      </c>
      <c r="AC204" s="100"/>
      <c r="AD204" s="96"/>
      <c r="AE204" s="96" t="n">
        <f aca="false">M204</f>
        <v>1</v>
      </c>
      <c r="AF204" s="96" t="n">
        <f aca="false">N204</f>
        <v>1</v>
      </c>
      <c r="AG204" s="31" t="n">
        <v>0</v>
      </c>
      <c r="AH204" s="31" t="n">
        <v>0</v>
      </c>
      <c r="AI204" s="31" t="n">
        <v>1</v>
      </c>
      <c r="AJ204" s="31" t="n">
        <v>1</v>
      </c>
      <c r="AK204" s="60" t="s">
        <v>316</v>
      </c>
      <c r="AL204" s="60" t="s">
        <v>136</v>
      </c>
      <c r="AM204" s="60" t="s">
        <v>317</v>
      </c>
      <c r="AN204" s="60" t="s">
        <v>318</v>
      </c>
    </row>
    <row r="205" customFormat="false" ht="15" hidden="false" customHeight="false" outlineLevel="0" collapsed="false">
      <c r="A205" s="1" t="n">
        <v>13</v>
      </c>
      <c r="B205" s="1" t="s">
        <v>65</v>
      </c>
      <c r="C205" s="1" t="s">
        <v>381</v>
      </c>
      <c r="D205" s="1" t="n">
        <v>6</v>
      </c>
      <c r="E205" s="78" t="str">
        <f aca="false">IF(D205&gt;8,"2 de 30h","1 de 44h")</f>
        <v>1 de 44h</v>
      </c>
      <c r="F205" s="95"/>
      <c r="G205" s="1" t="n">
        <v>2</v>
      </c>
      <c r="H205" s="60"/>
      <c r="I205" s="60"/>
      <c r="J205" s="60" t="n">
        <v>2</v>
      </c>
      <c r="K205" s="78" t="n">
        <v>0</v>
      </c>
      <c r="L205" s="60" t="n">
        <f aca="false">K205/4</f>
        <v>0</v>
      </c>
      <c r="M205" s="60" t="n">
        <f aca="false">I205+L205</f>
        <v>0</v>
      </c>
      <c r="N205" s="60" t="n">
        <f aca="false">J205</f>
        <v>2</v>
      </c>
      <c r="O205" s="1" t="s">
        <v>179</v>
      </c>
      <c r="P205" s="1" t="s">
        <v>229</v>
      </c>
      <c r="Q205" s="1" t="s">
        <v>179</v>
      </c>
      <c r="R205" s="1" t="s">
        <v>186</v>
      </c>
      <c r="S205" s="1" t="n">
        <v>3131</v>
      </c>
      <c r="T205" s="97"/>
      <c r="U205" s="97"/>
      <c r="V205" s="98" t="n">
        <v>22281</v>
      </c>
      <c r="W205" s="98"/>
      <c r="X205" s="98" t="s">
        <v>465</v>
      </c>
      <c r="Y205" s="99"/>
      <c r="Z205" s="101"/>
      <c r="AA205" s="101"/>
      <c r="AB205" s="101" t="n">
        <v>2</v>
      </c>
      <c r="AC205" s="101"/>
      <c r="AD205" s="60"/>
      <c r="AE205" s="60" t="n">
        <f aca="false">M205</f>
        <v>0</v>
      </c>
      <c r="AF205" s="60" t="n">
        <f aca="false">N205</f>
        <v>2</v>
      </c>
      <c r="AG205" s="102" t="n">
        <v>0</v>
      </c>
      <c r="AH205" s="102" t="n">
        <v>0</v>
      </c>
      <c r="AI205" s="102" t="n">
        <v>0</v>
      </c>
      <c r="AJ205" s="102" t="n">
        <v>2</v>
      </c>
      <c r="AK205" s="60" t="s">
        <v>316</v>
      </c>
      <c r="AL205" s="60" t="s">
        <v>136</v>
      </c>
      <c r="AM205" s="60" t="s">
        <v>317</v>
      </c>
      <c r="AN205" s="60" t="s">
        <v>318</v>
      </c>
    </row>
    <row r="206" customFormat="false" ht="15" hidden="false" customHeight="false" outlineLevel="0" collapsed="false">
      <c r="A206" s="1" t="n">
        <v>14</v>
      </c>
      <c r="B206" s="1" t="s">
        <v>57</v>
      </c>
      <c r="C206" s="1" t="s">
        <v>381</v>
      </c>
      <c r="D206" s="1" t="n">
        <v>6</v>
      </c>
      <c r="E206" s="78" t="str">
        <f aca="false">IF(D206&gt;8,"2 de 30h","1 de 44h")</f>
        <v>1 de 44h</v>
      </c>
      <c r="F206" s="95"/>
      <c r="G206" s="1" t="n">
        <v>1</v>
      </c>
      <c r="H206" s="96"/>
      <c r="I206" s="96"/>
      <c r="J206" s="96" t="n">
        <v>1</v>
      </c>
      <c r="K206" s="78" t="n">
        <v>0</v>
      </c>
      <c r="L206" s="96" t="n">
        <f aca="false">K206/4</f>
        <v>0</v>
      </c>
      <c r="M206" s="96" t="n">
        <f aca="false">I206+L206</f>
        <v>0</v>
      </c>
      <c r="N206" s="96" t="n">
        <f aca="false">J206</f>
        <v>1</v>
      </c>
      <c r="O206" s="1" t="s">
        <v>179</v>
      </c>
      <c r="P206" s="1" t="s">
        <v>229</v>
      </c>
      <c r="Q206" s="1" t="s">
        <v>179</v>
      </c>
      <c r="R206" s="1" t="s">
        <v>179</v>
      </c>
      <c r="S206" s="1" t="n">
        <v>4947</v>
      </c>
      <c r="T206" s="97"/>
      <c r="U206" s="97"/>
      <c r="V206" s="98" t="n">
        <v>24534</v>
      </c>
      <c r="W206" s="98"/>
      <c r="X206" s="98" t="s">
        <v>466</v>
      </c>
      <c r="Y206" s="99"/>
      <c r="Z206" s="100"/>
      <c r="AA206" s="100"/>
      <c r="AB206" s="100" t="n">
        <v>2</v>
      </c>
      <c r="AC206" s="100"/>
      <c r="AD206" s="96"/>
      <c r="AE206" s="96" t="n">
        <f aca="false">M206</f>
        <v>0</v>
      </c>
      <c r="AF206" s="96" t="n">
        <f aca="false">N206</f>
        <v>1</v>
      </c>
      <c r="AG206" s="31" t="n">
        <v>0</v>
      </c>
      <c r="AH206" s="31" t="n">
        <v>0</v>
      </c>
      <c r="AI206" s="31" t="n">
        <v>0</v>
      </c>
      <c r="AJ206" s="31" t="n">
        <v>1</v>
      </c>
      <c r="AK206" s="60" t="s">
        <v>404</v>
      </c>
      <c r="AL206" s="60" t="s">
        <v>136</v>
      </c>
      <c r="AM206" s="60" t="s">
        <v>317</v>
      </c>
      <c r="AN206" s="60" t="s">
        <v>318</v>
      </c>
    </row>
    <row r="207" customFormat="false" ht="9" hidden="false" customHeight="true" outlineLevel="0" collapsed="false">
      <c r="A207" s="106"/>
      <c r="B207" s="106"/>
      <c r="C207" s="106"/>
      <c r="D207" s="106"/>
      <c r="E207" s="107"/>
      <c r="F207" s="107"/>
      <c r="G207" s="106"/>
      <c r="H207" s="108"/>
      <c r="I207" s="108"/>
      <c r="J207" s="108"/>
      <c r="K207" s="107"/>
      <c r="L207" s="108"/>
      <c r="M207" s="108"/>
      <c r="N207" s="108"/>
      <c r="O207" s="106"/>
      <c r="P207" s="106"/>
      <c r="Q207" s="106"/>
      <c r="R207" s="106"/>
      <c r="S207" s="106"/>
      <c r="T207" s="109"/>
      <c r="U207" s="109"/>
      <c r="V207" s="109"/>
      <c r="W207" s="109"/>
      <c r="X207" s="109"/>
      <c r="Y207" s="109"/>
      <c r="Z207" s="110"/>
      <c r="AA207" s="110"/>
      <c r="AB207" s="110"/>
      <c r="AC207" s="110"/>
      <c r="AD207" s="108"/>
      <c r="AE207" s="108"/>
      <c r="AF207" s="108"/>
      <c r="AG207" s="108"/>
      <c r="AH207" s="108"/>
      <c r="AI207" s="108"/>
      <c r="AJ207" s="108"/>
      <c r="AK207" s="108"/>
      <c r="AL207" s="108"/>
      <c r="AM207" s="108"/>
      <c r="AN207" s="108"/>
    </row>
    <row r="208" customFormat="false" ht="15" hidden="false" customHeight="false" outlineLevel="0" collapsed="false">
      <c r="A208" s="1" t="n">
        <v>1</v>
      </c>
      <c r="B208" s="1" t="s">
        <v>67</v>
      </c>
      <c r="C208" s="1" t="s">
        <v>128</v>
      </c>
      <c r="F208" s="95"/>
      <c r="G208" s="1" t="n">
        <v>1</v>
      </c>
      <c r="H208" s="96"/>
      <c r="I208" s="96" t="n">
        <v>2</v>
      </c>
      <c r="J208" s="96"/>
      <c r="L208" s="96" t="n">
        <f aca="false">K208/4</f>
        <v>0</v>
      </c>
      <c r="M208" s="96" t="n">
        <f aca="false">I208+L208</f>
        <v>2</v>
      </c>
      <c r="N208" s="96" t="n">
        <f aca="false">J208</f>
        <v>0</v>
      </c>
      <c r="O208" s="1" t="s">
        <v>131</v>
      </c>
      <c r="Q208" s="1" t="s">
        <v>131</v>
      </c>
      <c r="S208" s="1" t="n">
        <v>76704</v>
      </c>
      <c r="T208" s="97"/>
      <c r="U208" s="97"/>
      <c r="V208" s="98" t="n">
        <v>125435</v>
      </c>
      <c r="W208" s="98" t="s">
        <v>467</v>
      </c>
      <c r="X208" s="98" t="s">
        <v>442</v>
      </c>
      <c r="Y208" s="99"/>
      <c r="Z208" s="100"/>
      <c r="AA208" s="100"/>
      <c r="AB208" s="100" t="n">
        <v>2</v>
      </c>
      <c r="AC208" s="100"/>
      <c r="AD208" s="96" t="n">
        <f aca="false">H208</f>
        <v>0</v>
      </c>
      <c r="AE208" s="96" t="n">
        <f aca="false">M208</f>
        <v>2</v>
      </c>
      <c r="AF208" s="96" t="n">
        <f aca="false">N208</f>
        <v>0</v>
      </c>
      <c r="AG208" s="31" t="n">
        <v>0</v>
      </c>
      <c r="AH208" s="31" t="n">
        <v>0</v>
      </c>
      <c r="AI208" s="31" t="n">
        <v>2</v>
      </c>
      <c r="AJ208" s="31" t="n">
        <v>0</v>
      </c>
      <c r="AK208" s="60" t="s">
        <v>316</v>
      </c>
      <c r="AL208" s="60" t="s">
        <v>136</v>
      </c>
      <c r="AM208" s="60" t="s">
        <v>317</v>
      </c>
      <c r="AN208" s="60" t="s">
        <v>318</v>
      </c>
    </row>
    <row r="209" customFormat="false" ht="15" hidden="false" customHeight="false" outlineLevel="0" collapsed="false">
      <c r="A209" s="1" t="n">
        <v>2</v>
      </c>
      <c r="B209" s="1" t="s">
        <v>468</v>
      </c>
      <c r="C209" s="1" t="s">
        <v>469</v>
      </c>
      <c r="D209" s="1" t="n">
        <v>12</v>
      </c>
      <c r="E209" s="78" t="str">
        <f aca="false">IF(D209&gt;8,"2 de 30h","1 de 44h")</f>
        <v>2 de 30h</v>
      </c>
      <c r="F209" s="95"/>
      <c r="G209" s="1" t="n">
        <v>1</v>
      </c>
      <c r="H209" s="60"/>
      <c r="I209" s="60" t="n">
        <v>2</v>
      </c>
      <c r="J209" s="60"/>
      <c r="K209" s="78" t="n">
        <v>3</v>
      </c>
      <c r="L209" s="60" t="n">
        <f aca="false">ROUNDUP(K209/4,0)</f>
        <v>1</v>
      </c>
      <c r="M209" s="60" t="n">
        <f aca="false">I209+L209</f>
        <v>3</v>
      </c>
      <c r="N209" s="60" t="n">
        <f aca="false">J209</f>
        <v>0</v>
      </c>
      <c r="O209" s="1" t="s">
        <v>131</v>
      </c>
      <c r="Q209" s="1" t="s">
        <v>131</v>
      </c>
      <c r="S209" s="1" t="n">
        <v>17304</v>
      </c>
      <c r="T209" s="97"/>
      <c r="U209" s="97"/>
      <c r="V209" s="98"/>
      <c r="W209" s="98"/>
      <c r="X209" s="98"/>
      <c r="Y209" s="99"/>
      <c r="Z209" s="101"/>
      <c r="AA209" s="101"/>
      <c r="AB209" s="101" t="n">
        <v>2</v>
      </c>
      <c r="AC209" s="101"/>
      <c r="AD209" s="60"/>
      <c r="AE209" s="60" t="n">
        <f aca="false">M209</f>
        <v>3</v>
      </c>
      <c r="AF209" s="60" t="n">
        <f aca="false">N209</f>
        <v>0</v>
      </c>
      <c r="AG209" s="102" t="n">
        <v>0</v>
      </c>
      <c r="AH209" s="102" t="n">
        <v>0</v>
      </c>
      <c r="AI209" s="102" t="n">
        <v>4</v>
      </c>
      <c r="AJ209" s="102" t="n">
        <v>0</v>
      </c>
      <c r="AK209" s="60" t="s">
        <v>316</v>
      </c>
      <c r="AL209" s="60" t="s">
        <v>136</v>
      </c>
      <c r="AM209" s="60" t="s">
        <v>317</v>
      </c>
      <c r="AN209" s="60" t="s">
        <v>318</v>
      </c>
    </row>
    <row r="210" customFormat="false" ht="15" hidden="false" customHeight="false" outlineLevel="0" collapsed="false">
      <c r="A210" s="1" t="n">
        <v>3</v>
      </c>
      <c r="B210" s="1" t="s">
        <v>68</v>
      </c>
      <c r="C210" s="1" t="s">
        <v>387</v>
      </c>
      <c r="D210" s="1" t="n">
        <v>5</v>
      </c>
      <c r="E210" s="78" t="str">
        <f aca="false">IF(D210&gt;8,"2 de 30h","1 de 44h")</f>
        <v>1 de 44h</v>
      </c>
      <c r="F210" s="95"/>
      <c r="G210" s="1" t="n">
        <v>1</v>
      </c>
      <c r="H210" s="96"/>
      <c r="I210" s="96"/>
      <c r="J210" s="96" t="n">
        <v>1</v>
      </c>
      <c r="K210" s="78" t="n">
        <v>2</v>
      </c>
      <c r="L210" s="96" t="n">
        <f aca="false">ROUNDUP(K210/4,0)</f>
        <v>1</v>
      </c>
      <c r="M210" s="96" t="n">
        <f aca="false">I210+L210</f>
        <v>1</v>
      </c>
      <c r="N210" s="96" t="n">
        <f aca="false">J210</f>
        <v>1</v>
      </c>
      <c r="O210" s="1" t="s">
        <v>129</v>
      </c>
      <c r="P210" s="1" t="s">
        <v>130</v>
      </c>
      <c r="S210" s="1" t="n">
        <v>6038</v>
      </c>
      <c r="T210" s="97"/>
      <c r="U210" s="97"/>
      <c r="V210" s="98" t="n">
        <v>77653</v>
      </c>
      <c r="W210" s="98"/>
      <c r="X210" s="98" t="s">
        <v>297</v>
      </c>
      <c r="Y210" s="99"/>
      <c r="Z210" s="100"/>
      <c r="AA210" s="100"/>
      <c r="AB210" s="100" t="n">
        <v>2</v>
      </c>
      <c r="AC210" s="100"/>
      <c r="AD210" s="96"/>
      <c r="AE210" s="96" t="n">
        <f aca="false">M210</f>
        <v>1</v>
      </c>
      <c r="AF210" s="96" t="n">
        <f aca="false">N210</f>
        <v>1</v>
      </c>
      <c r="AG210" s="31" t="n">
        <v>0</v>
      </c>
      <c r="AH210" s="31" t="n">
        <v>0</v>
      </c>
      <c r="AI210" s="31" t="n">
        <v>3</v>
      </c>
      <c r="AJ210" s="31" t="n">
        <v>0</v>
      </c>
      <c r="AK210" s="60" t="s">
        <v>470</v>
      </c>
      <c r="AL210" s="60" t="s">
        <v>136</v>
      </c>
      <c r="AM210" s="60" t="s">
        <v>317</v>
      </c>
      <c r="AN210" s="60" t="s">
        <v>318</v>
      </c>
    </row>
    <row r="211" customFormat="false" ht="15" hidden="false" customHeight="false" outlineLevel="0" collapsed="false">
      <c r="A211" s="1" t="n">
        <v>4</v>
      </c>
      <c r="B211" s="1" t="s">
        <v>73</v>
      </c>
      <c r="C211" s="1" t="s">
        <v>387</v>
      </c>
      <c r="D211" s="1" t="n">
        <v>5</v>
      </c>
      <c r="E211" s="78" t="str">
        <f aca="false">IF(D211&gt;8,"2 de 30h","1 de 44h")</f>
        <v>1 de 44h</v>
      </c>
      <c r="F211" s="95"/>
      <c r="G211" s="1" t="n">
        <v>1</v>
      </c>
      <c r="H211" s="60"/>
      <c r="I211" s="60"/>
      <c r="J211" s="60" t="n">
        <v>1</v>
      </c>
      <c r="K211" s="78" t="n">
        <v>1</v>
      </c>
      <c r="L211" s="60" t="n">
        <f aca="false">ROUNDUP(K211/4,0)</f>
        <v>1</v>
      </c>
      <c r="M211" s="60" t="n">
        <f aca="false">I211+L211</f>
        <v>1</v>
      </c>
      <c r="N211" s="60" t="n">
        <f aca="false">J211</f>
        <v>1</v>
      </c>
      <c r="O211" s="1" t="s">
        <v>131</v>
      </c>
      <c r="S211" s="1" t="n">
        <v>14318</v>
      </c>
      <c r="T211" s="97"/>
      <c r="U211" s="97"/>
      <c r="V211" s="98" t="n">
        <v>82464</v>
      </c>
      <c r="W211" s="98"/>
      <c r="X211" s="98" t="s">
        <v>254</v>
      </c>
      <c r="Y211" s="99"/>
      <c r="Z211" s="101"/>
      <c r="AA211" s="101"/>
      <c r="AB211" s="101" t="n">
        <v>2</v>
      </c>
      <c r="AC211" s="101"/>
      <c r="AD211" s="60"/>
      <c r="AE211" s="60" t="n">
        <f aca="false">M211</f>
        <v>1</v>
      </c>
      <c r="AF211" s="60" t="n">
        <f aca="false">N211</f>
        <v>1</v>
      </c>
      <c r="AG211" s="102" t="n">
        <v>0</v>
      </c>
      <c r="AH211" s="102" t="n">
        <v>0</v>
      </c>
      <c r="AI211" s="102" t="n">
        <v>3</v>
      </c>
      <c r="AJ211" s="102" t="n">
        <v>0</v>
      </c>
      <c r="AK211" s="60" t="s">
        <v>471</v>
      </c>
      <c r="AL211" s="60" t="s">
        <v>136</v>
      </c>
      <c r="AM211" s="60" t="s">
        <v>317</v>
      </c>
      <c r="AN211" s="60" t="s">
        <v>318</v>
      </c>
    </row>
    <row r="212" customFormat="false" ht="15" hidden="false" customHeight="false" outlineLevel="0" collapsed="false">
      <c r="A212" s="1" t="n">
        <v>5</v>
      </c>
      <c r="B212" s="1" t="s">
        <v>74</v>
      </c>
      <c r="C212" s="1" t="s">
        <v>387</v>
      </c>
      <c r="D212" s="1" t="n">
        <v>5</v>
      </c>
      <c r="E212" s="78" t="str">
        <f aca="false">IF(D212&gt;8,"2 de 30h","1 de 44h")</f>
        <v>1 de 44h</v>
      </c>
      <c r="F212" s="95"/>
      <c r="G212" s="1" t="n">
        <v>1</v>
      </c>
      <c r="H212" s="96"/>
      <c r="I212" s="96"/>
      <c r="J212" s="96" t="n">
        <v>1</v>
      </c>
      <c r="K212" s="78" t="n">
        <v>1</v>
      </c>
      <c r="L212" s="96" t="n">
        <f aca="false">ROUNDUP(K212/4,0)</f>
        <v>1</v>
      </c>
      <c r="M212" s="96" t="n">
        <f aca="false">I212+L212</f>
        <v>1</v>
      </c>
      <c r="N212" s="96" t="n">
        <f aca="false">J212</f>
        <v>1</v>
      </c>
      <c r="O212" s="1" t="s">
        <v>129</v>
      </c>
      <c r="P212" s="1" t="s">
        <v>130</v>
      </c>
      <c r="S212" s="1" t="n">
        <v>8058</v>
      </c>
      <c r="T212" s="97"/>
      <c r="U212" s="97"/>
      <c r="V212" s="98" t="n">
        <v>61671</v>
      </c>
      <c r="W212" s="98"/>
      <c r="X212" s="98" t="s">
        <v>343</v>
      </c>
      <c r="Y212" s="99"/>
      <c r="Z212" s="100"/>
      <c r="AA212" s="100"/>
      <c r="AB212" s="100" t="n">
        <v>2</v>
      </c>
      <c r="AC212" s="100"/>
      <c r="AD212" s="96"/>
      <c r="AE212" s="96" t="n">
        <f aca="false">M212</f>
        <v>1</v>
      </c>
      <c r="AF212" s="96" t="n">
        <f aca="false">N212</f>
        <v>1</v>
      </c>
      <c r="AG212" s="31" t="n">
        <v>0</v>
      </c>
      <c r="AH212" s="31" t="n">
        <v>0</v>
      </c>
      <c r="AI212" s="31" t="n">
        <v>3</v>
      </c>
      <c r="AJ212" s="31" t="n">
        <v>0</v>
      </c>
      <c r="AK212" s="60" t="s">
        <v>316</v>
      </c>
      <c r="AL212" s="60" t="s">
        <v>136</v>
      </c>
      <c r="AM212" s="60" t="s">
        <v>317</v>
      </c>
      <c r="AN212" s="60" t="s">
        <v>318</v>
      </c>
    </row>
    <row r="213" customFormat="false" ht="15" hidden="false" customHeight="false" outlineLevel="0" collapsed="false">
      <c r="A213" s="1" t="n">
        <v>6</v>
      </c>
      <c r="B213" s="1" t="s">
        <v>75</v>
      </c>
      <c r="C213" s="1" t="s">
        <v>387</v>
      </c>
      <c r="D213" s="1" t="n">
        <v>5</v>
      </c>
      <c r="E213" s="78" t="s">
        <v>145</v>
      </c>
      <c r="F213" s="95"/>
      <c r="G213" s="1" t="n">
        <v>1</v>
      </c>
      <c r="H213" s="60"/>
      <c r="I213" s="60" t="n">
        <v>2</v>
      </c>
      <c r="J213" s="60" t="n">
        <v>0</v>
      </c>
      <c r="K213" s="78" t="n">
        <v>3</v>
      </c>
      <c r="L213" s="60" t="n">
        <f aca="false">ROUNDUP(K213/4,0)</f>
        <v>1</v>
      </c>
      <c r="M213" s="60" t="n">
        <f aca="false">I213+L213</f>
        <v>3</v>
      </c>
      <c r="N213" s="60" t="n">
        <f aca="false">J213</f>
        <v>0</v>
      </c>
      <c r="O213" s="1" t="s">
        <v>129</v>
      </c>
      <c r="P213" s="1" t="s">
        <v>130</v>
      </c>
      <c r="S213" s="1" t="n">
        <v>13632</v>
      </c>
      <c r="T213" s="97" t="s">
        <v>132</v>
      </c>
      <c r="U213" s="97"/>
      <c r="V213" s="98" t="n">
        <v>60425</v>
      </c>
      <c r="W213" s="98"/>
      <c r="X213" s="98" t="s">
        <v>328</v>
      </c>
      <c r="Y213" s="99" t="s">
        <v>132</v>
      </c>
      <c r="Z213" s="101"/>
      <c r="AA213" s="101"/>
      <c r="AB213" s="101" t="n">
        <v>2</v>
      </c>
      <c r="AC213" s="101"/>
      <c r="AD213" s="60"/>
      <c r="AE213" s="60" t="n">
        <f aca="false">M213</f>
        <v>3</v>
      </c>
      <c r="AF213" s="60" t="n">
        <f aca="false">N213</f>
        <v>0</v>
      </c>
      <c r="AG213" s="102" t="n">
        <v>0</v>
      </c>
      <c r="AH213" s="102" t="n">
        <v>0</v>
      </c>
      <c r="AI213" s="102" t="n">
        <v>3</v>
      </c>
      <c r="AJ213" s="102" t="n">
        <v>0</v>
      </c>
      <c r="AK213" s="60" t="s">
        <v>316</v>
      </c>
      <c r="AL213" s="60" t="s">
        <v>136</v>
      </c>
      <c r="AM213" s="60" t="s">
        <v>317</v>
      </c>
      <c r="AN213" s="60" t="s">
        <v>318</v>
      </c>
    </row>
    <row r="214" customFormat="false" ht="15" hidden="false" customHeight="false" outlineLevel="0" collapsed="false">
      <c r="A214" s="1" t="n">
        <v>7</v>
      </c>
      <c r="B214" s="1" t="s">
        <v>69</v>
      </c>
      <c r="C214" s="1" t="s">
        <v>392</v>
      </c>
      <c r="D214" s="1" t="n">
        <v>6</v>
      </c>
      <c r="E214" s="78" t="str">
        <f aca="false">IF(D214&gt;8,"2 de 30h","1 de 44h")</f>
        <v>1 de 44h</v>
      </c>
      <c r="F214" s="95"/>
      <c r="G214" s="1" t="n">
        <v>1</v>
      </c>
      <c r="H214" s="96"/>
      <c r="I214" s="96"/>
      <c r="J214" s="96" t="n">
        <v>1</v>
      </c>
      <c r="K214" s="78" t="n">
        <v>2</v>
      </c>
      <c r="L214" s="96" t="n">
        <f aca="false">ROUNDUP(K214/4,0)</f>
        <v>1</v>
      </c>
      <c r="M214" s="96" t="n">
        <f aca="false">I214+L214</f>
        <v>1</v>
      </c>
      <c r="N214" s="96" t="n">
        <f aca="false">J214</f>
        <v>1</v>
      </c>
      <c r="O214" s="1" t="s">
        <v>131</v>
      </c>
      <c r="S214" s="1" t="n">
        <v>2287</v>
      </c>
      <c r="T214" s="97"/>
      <c r="U214" s="97"/>
      <c r="V214" s="98" t="n">
        <v>38898</v>
      </c>
      <c r="W214" s="98"/>
      <c r="X214" s="98" t="s">
        <v>472</v>
      </c>
      <c r="Y214" s="99"/>
      <c r="Z214" s="100"/>
      <c r="AA214" s="100"/>
      <c r="AB214" s="100" t="n">
        <v>2</v>
      </c>
      <c r="AC214" s="100"/>
      <c r="AD214" s="96"/>
      <c r="AE214" s="96" t="n">
        <f aca="false">M214</f>
        <v>1</v>
      </c>
      <c r="AF214" s="96" t="n">
        <f aca="false">N214</f>
        <v>1</v>
      </c>
      <c r="AG214" s="31" t="n">
        <v>0</v>
      </c>
      <c r="AH214" s="31" t="n">
        <v>0</v>
      </c>
      <c r="AI214" s="31" t="n">
        <v>3</v>
      </c>
      <c r="AJ214" s="31" t="n">
        <v>0</v>
      </c>
      <c r="AK214" s="60" t="s">
        <v>471</v>
      </c>
      <c r="AL214" s="60" t="s">
        <v>136</v>
      </c>
      <c r="AM214" s="60" t="s">
        <v>317</v>
      </c>
      <c r="AN214" s="60" t="s">
        <v>318</v>
      </c>
    </row>
    <row r="215" customFormat="false" ht="15" hidden="false" customHeight="false" outlineLevel="0" collapsed="false">
      <c r="A215" s="1" t="n">
        <v>8</v>
      </c>
      <c r="B215" s="1" t="s">
        <v>70</v>
      </c>
      <c r="C215" s="1" t="s">
        <v>387</v>
      </c>
      <c r="D215" s="1" t="n">
        <v>5</v>
      </c>
      <c r="E215" s="78" t="str">
        <f aca="false">IF(D215&gt;8,"2 de 30h","1 de 44h")</f>
        <v>1 de 44h</v>
      </c>
      <c r="F215" s="95"/>
      <c r="G215" s="1" t="n">
        <v>1</v>
      </c>
      <c r="H215" s="60"/>
      <c r="I215" s="60"/>
      <c r="J215" s="60" t="n">
        <v>1</v>
      </c>
      <c r="K215" s="78" t="n">
        <v>1</v>
      </c>
      <c r="L215" s="60" t="n">
        <f aca="false">ROUNDUP(K215/4,0)</f>
        <v>1</v>
      </c>
      <c r="M215" s="60" t="n">
        <f aca="false">I215+L215</f>
        <v>1</v>
      </c>
      <c r="N215" s="60" t="n">
        <f aca="false">J215</f>
        <v>1</v>
      </c>
      <c r="O215" s="1" t="s">
        <v>129</v>
      </c>
      <c r="P215" s="1" t="s">
        <v>130</v>
      </c>
      <c r="S215" s="1" t="n">
        <v>5836</v>
      </c>
      <c r="T215" s="97"/>
      <c r="U215" s="97"/>
      <c r="V215" s="98" t="n">
        <v>38159</v>
      </c>
      <c r="W215" s="98"/>
      <c r="X215" s="98" t="s">
        <v>418</v>
      </c>
      <c r="Y215" s="99"/>
      <c r="Z215" s="101"/>
      <c r="AA215" s="101"/>
      <c r="AB215" s="101" t="n">
        <v>2</v>
      </c>
      <c r="AC215" s="101"/>
      <c r="AD215" s="60"/>
      <c r="AE215" s="60" t="n">
        <f aca="false">M215</f>
        <v>1</v>
      </c>
      <c r="AF215" s="60" t="n">
        <f aca="false">N215</f>
        <v>1</v>
      </c>
      <c r="AG215" s="102" t="n">
        <v>0</v>
      </c>
      <c r="AH215" s="102" t="n">
        <v>0</v>
      </c>
      <c r="AI215" s="102" t="n">
        <v>3</v>
      </c>
      <c r="AJ215" s="102" t="n">
        <v>0</v>
      </c>
      <c r="AK215" s="60" t="s">
        <v>316</v>
      </c>
      <c r="AL215" s="60" t="s">
        <v>136</v>
      </c>
      <c r="AM215" s="60" t="s">
        <v>317</v>
      </c>
      <c r="AN215" s="60" t="s">
        <v>318</v>
      </c>
    </row>
    <row r="216" customFormat="false" ht="15" hidden="false" customHeight="false" outlineLevel="0" collapsed="false">
      <c r="A216" s="1" t="n">
        <v>9</v>
      </c>
      <c r="B216" s="1" t="s">
        <v>72</v>
      </c>
      <c r="C216" s="1" t="s">
        <v>387</v>
      </c>
      <c r="D216" s="1" t="n">
        <v>5</v>
      </c>
      <c r="E216" s="78" t="str">
        <f aca="false">IF(D216&gt;8,"2 de 30h","1 de 44h")</f>
        <v>1 de 44h</v>
      </c>
      <c r="F216" s="95"/>
      <c r="G216" s="1" t="n">
        <v>1</v>
      </c>
      <c r="H216" s="96"/>
      <c r="I216" s="96"/>
      <c r="J216" s="96" t="n">
        <v>1</v>
      </c>
      <c r="K216" s="78" t="n">
        <v>2</v>
      </c>
      <c r="L216" s="96" t="n">
        <f aca="false">ROUNDUP(K216/4,0)</f>
        <v>1</v>
      </c>
      <c r="M216" s="96" t="n">
        <f aca="false">I216+L216</f>
        <v>1</v>
      </c>
      <c r="N216" s="96" t="n">
        <f aca="false">J216</f>
        <v>1</v>
      </c>
      <c r="O216" s="1" t="s">
        <v>131</v>
      </c>
      <c r="S216" s="1" t="n">
        <v>7376</v>
      </c>
      <c r="T216" s="97"/>
      <c r="U216" s="97"/>
      <c r="V216" s="98" t="n">
        <v>39707</v>
      </c>
      <c r="W216" s="98"/>
      <c r="X216" s="98" t="s">
        <v>328</v>
      </c>
      <c r="Y216" s="99"/>
      <c r="Z216" s="100"/>
      <c r="AA216" s="100"/>
      <c r="AB216" s="100" t="n">
        <v>2</v>
      </c>
      <c r="AC216" s="100"/>
      <c r="AD216" s="96"/>
      <c r="AE216" s="96" t="n">
        <f aca="false">M216</f>
        <v>1</v>
      </c>
      <c r="AF216" s="96" t="n">
        <f aca="false">N216</f>
        <v>1</v>
      </c>
      <c r="AG216" s="31" t="n">
        <v>0</v>
      </c>
      <c r="AH216" s="31" t="n">
        <v>0</v>
      </c>
      <c r="AI216" s="31" t="n">
        <v>3</v>
      </c>
      <c r="AJ216" s="31" t="n">
        <v>0</v>
      </c>
      <c r="AK216" s="60" t="s">
        <v>471</v>
      </c>
      <c r="AL216" s="60" t="s">
        <v>136</v>
      </c>
      <c r="AM216" s="60" t="s">
        <v>317</v>
      </c>
      <c r="AN216" s="60" t="s">
        <v>318</v>
      </c>
    </row>
    <row r="217" customFormat="false" ht="15" hidden="false" customHeight="false" outlineLevel="0" collapsed="false">
      <c r="A217" s="1" t="n">
        <v>10</v>
      </c>
      <c r="B217" s="1" t="s">
        <v>71</v>
      </c>
      <c r="C217" s="1" t="s">
        <v>387</v>
      </c>
      <c r="D217" s="1" t="n">
        <v>5</v>
      </c>
      <c r="E217" s="78" t="str">
        <f aca="false">IF(D217&gt;8,"2 de 30h","1 de 44h")</f>
        <v>1 de 44h</v>
      </c>
      <c r="F217" s="95"/>
      <c r="G217" s="1" t="n">
        <v>1</v>
      </c>
      <c r="H217" s="60"/>
      <c r="I217" s="60"/>
      <c r="J217" s="60" t="n">
        <v>1</v>
      </c>
      <c r="K217" s="78" t="n">
        <v>1</v>
      </c>
      <c r="L217" s="60" t="n">
        <f aca="false">ROUNDUP(K217/4,0)</f>
        <v>1</v>
      </c>
      <c r="M217" s="60" t="n">
        <f aca="false">I217+L217</f>
        <v>1</v>
      </c>
      <c r="N217" s="60" t="n">
        <f aca="false">J217</f>
        <v>1</v>
      </c>
      <c r="O217" s="1" t="s">
        <v>129</v>
      </c>
      <c r="P217" s="1" t="s">
        <v>130</v>
      </c>
      <c r="Q217" s="1" t="s">
        <v>129</v>
      </c>
      <c r="R217" s="1" t="s">
        <v>129</v>
      </c>
      <c r="S217" s="1" t="n">
        <v>1855</v>
      </c>
      <c r="T217" s="97"/>
      <c r="U217" s="97"/>
      <c r="V217" s="98" t="n">
        <v>23021</v>
      </c>
      <c r="W217" s="98"/>
      <c r="X217" s="98" t="s">
        <v>218</v>
      </c>
      <c r="Y217" s="99"/>
      <c r="Z217" s="101"/>
      <c r="AA217" s="101"/>
      <c r="AB217" s="101" t="n">
        <v>2</v>
      </c>
      <c r="AC217" s="101"/>
      <c r="AD217" s="60"/>
      <c r="AE217" s="60" t="n">
        <f aca="false">M217</f>
        <v>1</v>
      </c>
      <c r="AF217" s="60" t="n">
        <f aca="false">N217</f>
        <v>1</v>
      </c>
      <c r="AG217" s="102" t="n">
        <v>0</v>
      </c>
      <c r="AH217" s="102" t="n">
        <v>0</v>
      </c>
      <c r="AI217" s="102" t="n">
        <v>3</v>
      </c>
      <c r="AJ217" s="102" t="n">
        <v>0</v>
      </c>
      <c r="AK217" s="60" t="s">
        <v>471</v>
      </c>
      <c r="AL217" s="60" t="s">
        <v>136</v>
      </c>
      <c r="AM217" s="60" t="s">
        <v>317</v>
      </c>
      <c r="AN217" s="60" t="s">
        <v>318</v>
      </c>
    </row>
    <row r="218" customFormat="false" ht="9" hidden="false" customHeight="true" outlineLevel="0" collapsed="false">
      <c r="A218" s="106"/>
      <c r="B218" s="106"/>
      <c r="C218" s="106"/>
      <c r="D218" s="106"/>
      <c r="E218" s="107"/>
      <c r="F218" s="111"/>
      <c r="G218" s="106"/>
      <c r="H218" s="108"/>
      <c r="I218" s="108"/>
      <c r="J218" s="108"/>
      <c r="K218" s="107"/>
      <c r="L218" s="108"/>
      <c r="M218" s="108"/>
      <c r="N218" s="108"/>
      <c r="O218" s="106"/>
      <c r="P218" s="106"/>
      <c r="Q218" s="106"/>
      <c r="R218" s="106"/>
      <c r="S218" s="106"/>
      <c r="T218" s="109"/>
      <c r="U218" s="109"/>
      <c r="V218" s="109"/>
      <c r="W218" s="109"/>
      <c r="X218" s="109"/>
      <c r="Y218" s="109"/>
      <c r="Z218" s="110"/>
      <c r="AA218" s="110"/>
      <c r="AB218" s="110"/>
      <c r="AC218" s="110"/>
      <c r="AD218" s="108"/>
      <c r="AE218" s="108"/>
      <c r="AF218" s="108"/>
      <c r="AG218" s="108"/>
      <c r="AH218" s="108"/>
      <c r="AI218" s="108"/>
      <c r="AJ218" s="108"/>
      <c r="AK218" s="108"/>
      <c r="AL218" s="108"/>
      <c r="AM218" s="108"/>
      <c r="AN218" s="108"/>
    </row>
    <row r="219" customFormat="false" ht="15" hidden="false" customHeight="false" outlineLevel="0" collapsed="false">
      <c r="A219" s="1" t="n">
        <v>1</v>
      </c>
      <c r="B219" s="1" t="s">
        <v>473</v>
      </c>
      <c r="C219" s="1" t="s">
        <v>140</v>
      </c>
      <c r="F219" s="95"/>
      <c r="G219" s="1" t="n">
        <v>1</v>
      </c>
      <c r="H219" s="60" t="n">
        <v>1</v>
      </c>
      <c r="I219" s="60"/>
      <c r="J219" s="60"/>
      <c r="K219" s="78" t="n">
        <v>0</v>
      </c>
      <c r="L219" s="60" t="n">
        <f aca="false">K219/4</f>
        <v>0</v>
      </c>
      <c r="M219" s="60" t="n">
        <f aca="false">I219+L219</f>
        <v>0</v>
      </c>
      <c r="N219" s="60" t="n">
        <f aca="false">J219</f>
        <v>0</v>
      </c>
      <c r="O219" s="1" t="s">
        <v>129</v>
      </c>
      <c r="P219" s="1" t="s">
        <v>130</v>
      </c>
      <c r="Q219" s="1" t="s">
        <v>131</v>
      </c>
      <c r="S219" s="1" t="n">
        <v>215839</v>
      </c>
      <c r="T219" s="97"/>
      <c r="U219" s="97" t="s">
        <v>180</v>
      </c>
      <c r="V219" s="98" t="n">
        <v>421240</v>
      </c>
      <c r="W219" s="98" t="n">
        <v>30</v>
      </c>
      <c r="X219" s="98" t="s">
        <v>474</v>
      </c>
      <c r="Y219" s="99" t="s">
        <v>132</v>
      </c>
      <c r="Z219" s="101" t="n">
        <v>2</v>
      </c>
      <c r="AA219" s="101" t="n">
        <v>2</v>
      </c>
      <c r="AB219" s="101"/>
      <c r="AC219" s="101"/>
      <c r="AD219" s="60" t="n">
        <f aca="false">H219</f>
        <v>1</v>
      </c>
      <c r="AE219" s="60" t="n">
        <f aca="false">M219</f>
        <v>0</v>
      </c>
      <c r="AF219" s="60" t="n">
        <f aca="false">N219</f>
        <v>0</v>
      </c>
      <c r="AG219" s="102" t="n">
        <v>1</v>
      </c>
      <c r="AH219" s="102" t="n">
        <v>1</v>
      </c>
      <c r="AI219" s="102" t="n">
        <v>0</v>
      </c>
      <c r="AJ219" s="102" t="n">
        <v>0</v>
      </c>
      <c r="AK219" s="60" t="s">
        <v>475</v>
      </c>
      <c r="AL219" s="60" t="s">
        <v>136</v>
      </c>
      <c r="AM219" s="60" t="s">
        <v>137</v>
      </c>
      <c r="AN219" s="60" t="s">
        <v>476</v>
      </c>
    </row>
    <row r="220" customFormat="false" ht="15" hidden="false" customHeight="false" outlineLevel="0" collapsed="false">
      <c r="A220" s="1" t="n">
        <v>2</v>
      </c>
      <c r="B220" s="1" t="s">
        <v>477</v>
      </c>
      <c r="C220" s="1" t="s">
        <v>197</v>
      </c>
      <c r="D220" s="1" t="n">
        <v>10</v>
      </c>
      <c r="E220" s="78" t="str">
        <f aca="false">IF(D220&gt;8,"2 de 30h","1 de 44h")</f>
        <v>2 de 30h</v>
      </c>
      <c r="F220" s="95"/>
      <c r="G220" s="1" t="n">
        <v>1</v>
      </c>
      <c r="H220" s="96"/>
      <c r="I220" s="96" t="n">
        <v>2</v>
      </c>
      <c r="J220" s="96"/>
      <c r="K220" s="78" t="n">
        <v>2</v>
      </c>
      <c r="L220" s="96" t="n">
        <f aca="false">ROUNDUP(K220/4,0)</f>
        <v>1</v>
      </c>
      <c r="M220" s="96" t="n">
        <f aca="false">I220+L220</f>
        <v>3</v>
      </c>
      <c r="N220" s="96" t="n">
        <f aca="false">J220</f>
        <v>0</v>
      </c>
      <c r="O220" s="1" t="s">
        <v>129</v>
      </c>
      <c r="P220" s="1" t="s">
        <v>431</v>
      </c>
      <c r="Q220" s="1" t="s">
        <v>131</v>
      </c>
      <c r="S220" s="1" t="n">
        <v>13452</v>
      </c>
      <c r="T220" s="97"/>
      <c r="U220" s="97"/>
      <c r="V220" s="98" t="n">
        <v>58206</v>
      </c>
      <c r="W220" s="98"/>
      <c r="X220" s="98" t="s">
        <v>251</v>
      </c>
      <c r="Y220" s="99"/>
      <c r="Z220" s="100"/>
      <c r="AA220" s="100"/>
      <c r="AB220" s="100" t="n">
        <v>4</v>
      </c>
      <c r="AC220" s="100"/>
      <c r="AD220" s="96"/>
      <c r="AE220" s="96" t="n">
        <f aca="false">M220</f>
        <v>3</v>
      </c>
      <c r="AF220" s="96" t="n">
        <f aca="false">N220</f>
        <v>0</v>
      </c>
      <c r="AG220" s="31" t="n">
        <v>0</v>
      </c>
      <c r="AH220" s="31" t="n">
        <v>0</v>
      </c>
      <c r="AI220" s="31" t="n">
        <v>4</v>
      </c>
      <c r="AJ220" s="31" t="n">
        <v>0</v>
      </c>
      <c r="AK220" s="60" t="s">
        <v>475</v>
      </c>
      <c r="AL220" s="60" t="s">
        <v>136</v>
      </c>
      <c r="AM220" s="60" t="s">
        <v>137</v>
      </c>
      <c r="AN220" s="60" t="s">
        <v>476</v>
      </c>
    </row>
    <row r="221" customFormat="false" ht="15" hidden="false" customHeight="false" outlineLevel="0" collapsed="false">
      <c r="A221" s="1" t="n">
        <v>3</v>
      </c>
      <c r="B221" s="1" t="s">
        <v>478</v>
      </c>
      <c r="C221" s="1" t="s">
        <v>203</v>
      </c>
      <c r="D221" s="1" t="n">
        <v>6</v>
      </c>
      <c r="E221" s="78" t="str">
        <f aca="false">IF(D221&gt;8,"2 de 30h","1 de 44h")</f>
        <v>1 de 44h</v>
      </c>
      <c r="F221" s="95"/>
      <c r="G221" s="1" t="n">
        <v>1</v>
      </c>
      <c r="H221" s="60"/>
      <c r="I221" s="60"/>
      <c r="J221" s="60" t="n">
        <v>1</v>
      </c>
      <c r="K221" s="78" t="n">
        <v>4</v>
      </c>
      <c r="L221" s="60" t="n">
        <f aca="false">K221/4</f>
        <v>1</v>
      </c>
      <c r="M221" s="60" t="n">
        <f aca="false">I221+L221</f>
        <v>1</v>
      </c>
      <c r="N221" s="60" t="n">
        <f aca="false">J221</f>
        <v>1</v>
      </c>
      <c r="O221" s="1" t="s">
        <v>129</v>
      </c>
      <c r="P221" s="1" t="s">
        <v>130</v>
      </c>
      <c r="Q221" s="1" t="s">
        <v>131</v>
      </c>
      <c r="S221" s="1" t="n">
        <v>16161</v>
      </c>
      <c r="T221" s="97"/>
      <c r="U221" s="97"/>
      <c r="V221" s="98" t="n">
        <v>37748</v>
      </c>
      <c r="W221" s="98"/>
      <c r="X221" s="98" t="s">
        <v>244</v>
      </c>
      <c r="Y221" s="99"/>
      <c r="Z221" s="101"/>
      <c r="AA221" s="101"/>
      <c r="AB221" s="101" t="n">
        <v>4</v>
      </c>
      <c r="AC221" s="101"/>
      <c r="AD221" s="60"/>
      <c r="AE221" s="60" t="n">
        <f aca="false">M221</f>
        <v>1</v>
      </c>
      <c r="AF221" s="60" t="n">
        <f aca="false">N221</f>
        <v>1</v>
      </c>
      <c r="AG221" s="102" t="n">
        <v>0</v>
      </c>
      <c r="AH221" s="102" t="n">
        <v>0</v>
      </c>
      <c r="AI221" s="102" t="n">
        <v>1</v>
      </c>
      <c r="AJ221" s="102" t="n">
        <v>1</v>
      </c>
      <c r="AK221" s="60" t="s">
        <v>475</v>
      </c>
      <c r="AL221" s="60" t="s">
        <v>136</v>
      </c>
      <c r="AM221" s="60" t="s">
        <v>137</v>
      </c>
      <c r="AN221" s="60" t="s">
        <v>476</v>
      </c>
    </row>
    <row r="222" customFormat="false" ht="15" hidden="false" customHeight="false" outlineLevel="0" collapsed="false">
      <c r="A222" s="1" t="n">
        <v>4</v>
      </c>
      <c r="B222" s="1" t="s">
        <v>479</v>
      </c>
      <c r="C222" s="1" t="s">
        <v>184</v>
      </c>
      <c r="D222" s="1" t="n">
        <v>10</v>
      </c>
      <c r="E222" s="78" t="str">
        <f aca="false">IF(D222&gt;8,"2 de 30h","1 de 44h")</f>
        <v>2 de 30h</v>
      </c>
      <c r="F222" s="95"/>
      <c r="G222" s="1" t="n">
        <v>1</v>
      </c>
      <c r="H222" s="96"/>
      <c r="I222" s="96" t="n">
        <v>2</v>
      </c>
      <c r="J222" s="96"/>
      <c r="K222" s="78" t="n">
        <v>7</v>
      </c>
      <c r="L222" s="96" t="n">
        <f aca="false">ROUNDUP(K222/4,0)</f>
        <v>2</v>
      </c>
      <c r="M222" s="96" t="n">
        <f aca="false">I222+L222</f>
        <v>4</v>
      </c>
      <c r="N222" s="96" t="n">
        <f aca="false">J222</f>
        <v>0</v>
      </c>
      <c r="O222" s="1" t="s">
        <v>131</v>
      </c>
      <c r="P222" s="1" t="s">
        <v>480</v>
      </c>
      <c r="Q222" s="1" t="s">
        <v>131</v>
      </c>
      <c r="S222" s="1" t="n">
        <v>39901</v>
      </c>
      <c r="T222" s="97" t="s">
        <v>132</v>
      </c>
      <c r="U222" s="97"/>
      <c r="V222" s="98"/>
      <c r="W222" s="98"/>
      <c r="X222" s="98"/>
      <c r="Y222" s="99" t="s">
        <v>132</v>
      </c>
      <c r="Z222" s="100"/>
      <c r="AA222" s="100"/>
      <c r="AB222" s="100" t="n">
        <v>10</v>
      </c>
      <c r="AC222" s="100" t="n">
        <v>1</v>
      </c>
      <c r="AD222" s="96"/>
      <c r="AE222" s="96" t="n">
        <f aca="false">M222</f>
        <v>4</v>
      </c>
      <c r="AF222" s="96" t="n">
        <f aca="false">N222</f>
        <v>0</v>
      </c>
      <c r="AG222" s="31" t="n">
        <v>0</v>
      </c>
      <c r="AH222" s="31" t="n">
        <v>0</v>
      </c>
      <c r="AI222" s="31" t="n">
        <v>12</v>
      </c>
      <c r="AJ222" s="31" t="n">
        <v>0</v>
      </c>
      <c r="AK222" s="60" t="s">
        <v>475</v>
      </c>
      <c r="AL222" s="60" t="s">
        <v>136</v>
      </c>
      <c r="AM222" s="60" t="s">
        <v>137</v>
      </c>
      <c r="AN222" s="60" t="s">
        <v>476</v>
      </c>
    </row>
    <row r="223" customFormat="false" ht="15" hidden="false" customHeight="false" outlineLevel="0" collapsed="false">
      <c r="A223" s="1" t="n">
        <v>5</v>
      </c>
      <c r="B223" s="1" t="s">
        <v>481</v>
      </c>
      <c r="C223" s="1" t="s">
        <v>184</v>
      </c>
      <c r="D223" s="1" t="n">
        <v>10</v>
      </c>
      <c r="E223" s="78" t="str">
        <f aca="false">IF(D223&gt;8,"2 de 30h","1 de 44h")</f>
        <v>2 de 30h</v>
      </c>
      <c r="F223" s="95"/>
      <c r="G223" s="1" t="n">
        <v>1</v>
      </c>
      <c r="H223" s="60"/>
      <c r="I223" s="60" t="n">
        <v>2</v>
      </c>
      <c r="J223" s="60"/>
      <c r="K223" s="78" t="n">
        <v>0</v>
      </c>
      <c r="L223" s="60" t="n">
        <f aca="false">K223/4</f>
        <v>0</v>
      </c>
      <c r="M223" s="60" t="n">
        <f aca="false">I223+L223</f>
        <v>2</v>
      </c>
      <c r="N223" s="60" t="n">
        <f aca="false">J223</f>
        <v>0</v>
      </c>
      <c r="O223" s="1" t="s">
        <v>129</v>
      </c>
      <c r="P223" s="1" t="s">
        <v>431</v>
      </c>
      <c r="Q223" s="1" t="s">
        <v>131</v>
      </c>
      <c r="S223" s="1" t="n">
        <v>15620</v>
      </c>
      <c r="T223" s="97" t="s">
        <v>132</v>
      </c>
      <c r="U223" s="97"/>
      <c r="V223" s="98"/>
      <c r="W223" s="98"/>
      <c r="X223" s="98"/>
      <c r="Y223" s="99" t="s">
        <v>132</v>
      </c>
      <c r="Z223" s="101" t="n">
        <v>1</v>
      </c>
      <c r="AA223" s="101" t="n">
        <v>1</v>
      </c>
      <c r="AB223" s="101" t="n">
        <v>4</v>
      </c>
      <c r="AC223" s="101" t="n">
        <v>1</v>
      </c>
      <c r="AD223" s="60"/>
      <c r="AE223" s="60" t="n">
        <f aca="false">M223</f>
        <v>2</v>
      </c>
      <c r="AF223" s="60" t="n">
        <f aca="false">N223</f>
        <v>0</v>
      </c>
      <c r="AG223" s="102" t="n">
        <v>1</v>
      </c>
      <c r="AH223" s="102" t="n">
        <v>1</v>
      </c>
      <c r="AI223" s="102" t="n">
        <v>0</v>
      </c>
      <c r="AJ223" s="102" t="n">
        <v>0</v>
      </c>
      <c r="AK223" s="60" t="s">
        <v>475</v>
      </c>
      <c r="AL223" s="60" t="s">
        <v>136</v>
      </c>
      <c r="AM223" s="60" t="s">
        <v>137</v>
      </c>
      <c r="AN223" s="60" t="s">
        <v>476</v>
      </c>
    </row>
    <row r="224" customFormat="false" ht="15" hidden="false" customHeight="false" outlineLevel="0" collapsed="false">
      <c r="A224" s="1" t="n">
        <v>6</v>
      </c>
      <c r="B224" s="1" t="s">
        <v>482</v>
      </c>
      <c r="C224" s="1" t="s">
        <v>184</v>
      </c>
      <c r="D224" s="1" t="n">
        <v>10</v>
      </c>
      <c r="E224" s="78" t="str">
        <f aca="false">IF(D224&gt;8,"2 de 30h","1 de 44h")</f>
        <v>2 de 30h</v>
      </c>
      <c r="F224" s="95"/>
      <c r="G224" s="1" t="n">
        <v>1</v>
      </c>
      <c r="H224" s="96"/>
      <c r="I224" s="96" t="n">
        <v>2</v>
      </c>
      <c r="J224" s="96"/>
      <c r="K224" s="78" t="n">
        <v>2</v>
      </c>
      <c r="L224" s="96" t="n">
        <f aca="false">ROUNDUP(K224/4,0)</f>
        <v>1</v>
      </c>
      <c r="M224" s="96" t="n">
        <f aca="false">I224+L224</f>
        <v>3</v>
      </c>
      <c r="N224" s="96" t="n">
        <f aca="false">J224</f>
        <v>0</v>
      </c>
      <c r="O224" s="1" t="s">
        <v>129</v>
      </c>
      <c r="P224" s="1" t="s">
        <v>130</v>
      </c>
      <c r="Q224" s="1" t="s">
        <v>131</v>
      </c>
      <c r="S224" s="1" t="n">
        <v>12018</v>
      </c>
      <c r="T224" s="97"/>
      <c r="U224" s="97"/>
      <c r="V224" s="98" t="n">
        <v>40170</v>
      </c>
      <c r="W224" s="98"/>
      <c r="X224" s="98" t="s">
        <v>394</v>
      </c>
      <c r="Y224" s="99"/>
      <c r="Z224" s="100"/>
      <c r="AA224" s="100"/>
      <c r="AB224" s="100" t="n">
        <v>3</v>
      </c>
      <c r="AC224" s="100"/>
      <c r="AD224" s="96"/>
      <c r="AE224" s="96" t="n">
        <f aca="false">M224</f>
        <v>3</v>
      </c>
      <c r="AF224" s="96" t="n">
        <f aca="false">N224</f>
        <v>0</v>
      </c>
      <c r="AG224" s="31" t="n">
        <v>0</v>
      </c>
      <c r="AH224" s="31" t="n">
        <v>0</v>
      </c>
      <c r="AI224" s="31" t="n">
        <v>4</v>
      </c>
      <c r="AJ224" s="31" t="n">
        <v>0</v>
      </c>
      <c r="AK224" s="60" t="s">
        <v>475</v>
      </c>
      <c r="AL224" s="60" t="s">
        <v>136</v>
      </c>
      <c r="AM224" s="60" t="s">
        <v>137</v>
      </c>
      <c r="AN224" s="60" t="s">
        <v>476</v>
      </c>
    </row>
    <row r="225" customFormat="false" ht="15" hidden="false" customHeight="false" outlineLevel="0" collapsed="false">
      <c r="A225" s="1" t="n">
        <v>7</v>
      </c>
      <c r="B225" s="1" t="s">
        <v>483</v>
      </c>
      <c r="C225" s="1" t="s">
        <v>197</v>
      </c>
      <c r="D225" s="1" t="n">
        <v>10</v>
      </c>
      <c r="E225" s="78" t="str">
        <f aca="false">IF(D225&gt;8,"2 de 30h","1 de 44h")</f>
        <v>2 de 30h</v>
      </c>
      <c r="F225" s="95"/>
      <c r="G225" s="1" t="n">
        <v>1</v>
      </c>
      <c r="H225" s="60"/>
      <c r="I225" s="60" t="n">
        <v>2</v>
      </c>
      <c r="J225" s="60"/>
      <c r="K225" s="78" t="n">
        <v>7</v>
      </c>
      <c r="L225" s="60" t="n">
        <f aca="false">ROUNDUP(K225/4,0)</f>
        <v>2</v>
      </c>
      <c r="M225" s="60" t="n">
        <f aca="false">I225+L225</f>
        <v>4</v>
      </c>
      <c r="N225" s="60" t="n">
        <f aca="false">J225</f>
        <v>0</v>
      </c>
      <c r="O225" s="1" t="s">
        <v>129</v>
      </c>
      <c r="P225" s="1" t="s">
        <v>130</v>
      </c>
      <c r="Q225" s="1" t="s">
        <v>131</v>
      </c>
      <c r="S225" s="1" t="n">
        <v>47894</v>
      </c>
      <c r="T225" s="97"/>
      <c r="U225" s="97"/>
      <c r="V225" s="98" t="n">
        <v>156727</v>
      </c>
      <c r="W225" s="98" t="s">
        <v>484</v>
      </c>
      <c r="X225" s="98" t="s">
        <v>485</v>
      </c>
      <c r="Y225" s="99"/>
      <c r="Z225" s="101" t="n">
        <v>1</v>
      </c>
      <c r="AA225" s="101" t="n">
        <v>1</v>
      </c>
      <c r="AB225" s="101" t="n">
        <v>4</v>
      </c>
      <c r="AC225" s="101"/>
      <c r="AD225" s="60"/>
      <c r="AE225" s="60" t="n">
        <f aca="false">M225</f>
        <v>4</v>
      </c>
      <c r="AF225" s="60" t="n">
        <f aca="false">N225</f>
        <v>0</v>
      </c>
      <c r="AG225" s="102" t="n">
        <v>1</v>
      </c>
      <c r="AH225" s="102" t="n">
        <v>1</v>
      </c>
      <c r="AI225" s="102" t="n">
        <v>1</v>
      </c>
      <c r="AJ225" s="102" t="n">
        <v>0</v>
      </c>
      <c r="AK225" s="60" t="s">
        <v>475</v>
      </c>
      <c r="AL225" s="60" t="s">
        <v>136</v>
      </c>
      <c r="AM225" s="60" t="s">
        <v>137</v>
      </c>
      <c r="AN225" s="60" t="s">
        <v>476</v>
      </c>
    </row>
    <row r="226" customFormat="false" ht="15" hidden="false" customHeight="false" outlineLevel="0" collapsed="false">
      <c r="A226" s="1" t="n">
        <v>8</v>
      </c>
      <c r="B226" s="1" t="s">
        <v>486</v>
      </c>
      <c r="C226" s="1" t="s">
        <v>184</v>
      </c>
      <c r="D226" s="1" t="n">
        <v>10</v>
      </c>
      <c r="E226" s="78" t="str">
        <f aca="false">IF(D226&gt;8,"2 de 30h","1 de 44h")</f>
        <v>2 de 30h</v>
      </c>
      <c r="F226" s="95"/>
      <c r="G226" s="1" t="n">
        <v>1</v>
      </c>
      <c r="H226" s="96"/>
      <c r="I226" s="96" t="n">
        <v>2</v>
      </c>
      <c r="J226" s="96"/>
      <c r="K226" s="78" t="n">
        <v>5</v>
      </c>
      <c r="L226" s="96" t="n">
        <f aca="false">ROUNDUP(K226/4,0)</f>
        <v>2</v>
      </c>
      <c r="M226" s="96" t="n">
        <f aca="false">I226+L226</f>
        <v>4</v>
      </c>
      <c r="N226" s="96" t="n">
        <f aca="false">J226</f>
        <v>0</v>
      </c>
      <c r="O226" s="1" t="s">
        <v>131</v>
      </c>
      <c r="P226" s="1" t="s">
        <v>480</v>
      </c>
      <c r="Q226" s="1" t="s">
        <v>131</v>
      </c>
      <c r="S226" s="1" t="n">
        <v>18931</v>
      </c>
      <c r="T226" s="97"/>
      <c r="U226" s="97"/>
      <c r="V226" s="98" t="n">
        <v>137334</v>
      </c>
      <c r="W226" s="98" t="s">
        <v>165</v>
      </c>
      <c r="X226" s="98" t="s">
        <v>264</v>
      </c>
      <c r="Y226" s="99" t="s">
        <v>132</v>
      </c>
      <c r="Z226" s="100"/>
      <c r="AA226" s="100"/>
      <c r="AB226" s="100" t="n">
        <v>6</v>
      </c>
      <c r="AC226" s="100" t="n">
        <v>1</v>
      </c>
      <c r="AD226" s="96"/>
      <c r="AE226" s="96" t="n">
        <f aca="false">M226</f>
        <v>4</v>
      </c>
      <c r="AF226" s="96" t="n">
        <f aca="false">N226</f>
        <v>0</v>
      </c>
      <c r="AG226" s="31" t="n">
        <v>0</v>
      </c>
      <c r="AH226" s="31" t="n">
        <v>0</v>
      </c>
      <c r="AI226" s="31" t="n">
        <v>2</v>
      </c>
      <c r="AJ226" s="31" t="n">
        <v>4</v>
      </c>
      <c r="AK226" s="60" t="s">
        <v>475</v>
      </c>
      <c r="AL226" s="60" t="s">
        <v>136</v>
      </c>
      <c r="AM226" s="60" t="s">
        <v>137</v>
      </c>
      <c r="AN226" s="60" t="s">
        <v>476</v>
      </c>
    </row>
    <row r="227" customFormat="false" ht="15" hidden="false" customHeight="false" outlineLevel="0" collapsed="false">
      <c r="A227" s="1" t="n">
        <v>9</v>
      </c>
      <c r="B227" s="1" t="s">
        <v>487</v>
      </c>
      <c r="C227" s="1" t="s">
        <v>140</v>
      </c>
      <c r="F227" s="95"/>
      <c r="G227" s="1" t="n">
        <v>1</v>
      </c>
      <c r="H227" s="60"/>
      <c r="I227" s="60"/>
      <c r="J227" s="60" t="n">
        <v>0</v>
      </c>
      <c r="K227" s="78" t="n">
        <v>0</v>
      </c>
      <c r="L227" s="60" t="n">
        <f aca="false">K227/4</f>
        <v>0</v>
      </c>
      <c r="M227" s="60" t="n">
        <f aca="false">I227+L227</f>
        <v>0</v>
      </c>
      <c r="N227" s="60" t="n">
        <f aca="false">J227</f>
        <v>0</v>
      </c>
      <c r="O227" s="1" t="s">
        <v>129</v>
      </c>
      <c r="P227" s="1" t="s">
        <v>185</v>
      </c>
      <c r="Q227" s="1" t="s">
        <v>131</v>
      </c>
      <c r="T227" s="97" t="s">
        <v>132</v>
      </c>
      <c r="U227" s="97"/>
      <c r="V227" s="98"/>
      <c r="W227" s="98"/>
      <c r="X227" s="98"/>
      <c r="Y227" s="99" t="s">
        <v>132</v>
      </c>
      <c r="Z227" s="101"/>
      <c r="AA227" s="101"/>
      <c r="AB227" s="101"/>
      <c r="AC227" s="101"/>
      <c r="AD227" s="60"/>
      <c r="AE227" s="60" t="n">
        <v>2</v>
      </c>
      <c r="AF227" s="60" t="n">
        <f aca="false">N227</f>
        <v>0</v>
      </c>
      <c r="AG227" s="102" t="n">
        <v>0</v>
      </c>
      <c r="AH227" s="102" t="n">
        <v>0</v>
      </c>
      <c r="AI227" s="102" t="n">
        <v>0</v>
      </c>
      <c r="AJ227" s="102" t="n">
        <v>1</v>
      </c>
      <c r="AK227" s="60" t="s">
        <v>475</v>
      </c>
      <c r="AL227" s="60" t="s">
        <v>136</v>
      </c>
      <c r="AM227" s="60" t="s">
        <v>137</v>
      </c>
      <c r="AN227" s="60" t="s">
        <v>476</v>
      </c>
    </row>
    <row r="228" customFormat="false" ht="15" hidden="false" customHeight="false" outlineLevel="0" collapsed="false">
      <c r="A228" s="1" t="n">
        <v>10</v>
      </c>
      <c r="B228" s="1" t="s">
        <v>488</v>
      </c>
      <c r="C228" s="1" t="s">
        <v>184</v>
      </c>
      <c r="D228" s="1" t="n">
        <v>10</v>
      </c>
      <c r="E228" s="78" t="str">
        <f aca="false">IF(D228&gt;8,"2 de 30h","1 de 44h")</f>
        <v>2 de 30h</v>
      </c>
      <c r="F228" s="95"/>
      <c r="G228" s="1" t="n">
        <v>1</v>
      </c>
      <c r="H228" s="96"/>
      <c r="I228" s="96" t="n">
        <v>2</v>
      </c>
      <c r="J228" s="96"/>
      <c r="K228" s="78" t="n">
        <v>4</v>
      </c>
      <c r="L228" s="96" t="n">
        <f aca="false">K228/4</f>
        <v>1</v>
      </c>
      <c r="M228" s="96" t="n">
        <f aca="false">I228+L228</f>
        <v>3</v>
      </c>
      <c r="N228" s="96" t="n">
        <f aca="false">J228</f>
        <v>0</v>
      </c>
      <c r="O228" s="1" t="s">
        <v>129</v>
      </c>
      <c r="P228" s="1" t="s">
        <v>130</v>
      </c>
      <c r="Q228" s="1" t="s">
        <v>131</v>
      </c>
      <c r="S228" s="1" t="n">
        <v>20436</v>
      </c>
      <c r="T228" s="97"/>
      <c r="U228" s="97"/>
      <c r="V228" s="98" t="n">
        <v>209804</v>
      </c>
      <c r="W228" s="98" t="s">
        <v>489</v>
      </c>
      <c r="X228" s="98" t="s">
        <v>490</v>
      </c>
      <c r="Y228" s="99"/>
      <c r="Z228" s="100" t="n">
        <v>1</v>
      </c>
      <c r="AA228" s="100" t="n">
        <v>1</v>
      </c>
      <c r="AB228" s="100" t="n">
        <v>4</v>
      </c>
      <c r="AC228" s="100"/>
      <c r="AD228" s="96"/>
      <c r="AE228" s="96" t="n">
        <f aca="false">M228</f>
        <v>3</v>
      </c>
      <c r="AF228" s="96" t="n">
        <f aca="false">N228</f>
        <v>0</v>
      </c>
      <c r="AG228" s="31" t="n">
        <v>1</v>
      </c>
      <c r="AH228" s="31" t="n">
        <v>1</v>
      </c>
      <c r="AI228" s="31" t="n">
        <v>2</v>
      </c>
      <c r="AJ228" s="31" t="n">
        <v>0</v>
      </c>
      <c r="AK228" s="60" t="s">
        <v>475</v>
      </c>
      <c r="AL228" s="60" t="s">
        <v>136</v>
      </c>
      <c r="AM228" s="60" t="s">
        <v>137</v>
      </c>
      <c r="AN228" s="60" t="s">
        <v>476</v>
      </c>
    </row>
    <row r="229" customFormat="false" ht="15" hidden="false" customHeight="false" outlineLevel="0" collapsed="false">
      <c r="A229" s="1" t="n">
        <v>11</v>
      </c>
      <c r="B229" s="1" t="s">
        <v>491</v>
      </c>
      <c r="C229" s="1" t="s">
        <v>184</v>
      </c>
      <c r="D229" s="1" t="n">
        <v>10</v>
      </c>
      <c r="E229" s="78" t="str">
        <f aca="false">IF(D229&gt;8,"2 de 30h","1 de 44h")</f>
        <v>2 de 30h</v>
      </c>
      <c r="F229" s="95"/>
      <c r="G229" s="1" t="n">
        <v>1</v>
      </c>
      <c r="H229" s="60"/>
      <c r="I229" s="60" t="n">
        <v>2</v>
      </c>
      <c r="J229" s="60"/>
      <c r="K229" s="78" t="n">
        <v>4</v>
      </c>
      <c r="L229" s="60" t="n">
        <f aca="false">K229/4</f>
        <v>1</v>
      </c>
      <c r="M229" s="60" t="n">
        <f aca="false">I229+L229</f>
        <v>3</v>
      </c>
      <c r="N229" s="60" t="n">
        <f aca="false">J229</f>
        <v>0</v>
      </c>
      <c r="O229" s="1" t="s">
        <v>131</v>
      </c>
      <c r="P229" s="1" t="s">
        <v>480</v>
      </c>
      <c r="Q229" s="1" t="s">
        <v>131</v>
      </c>
      <c r="S229" s="1" t="n">
        <v>6988</v>
      </c>
      <c r="T229" s="97"/>
      <c r="U229" s="97"/>
      <c r="V229" s="98" t="n">
        <v>30960</v>
      </c>
      <c r="W229" s="98"/>
      <c r="X229" s="98" t="s">
        <v>383</v>
      </c>
      <c r="Y229" s="99"/>
      <c r="Z229" s="101"/>
      <c r="AA229" s="101"/>
      <c r="AB229" s="101" t="n">
        <v>3</v>
      </c>
      <c r="AC229" s="101"/>
      <c r="AD229" s="60"/>
      <c r="AE229" s="60" t="n">
        <f aca="false">M229</f>
        <v>3</v>
      </c>
      <c r="AF229" s="60" t="n">
        <f aca="false">N229</f>
        <v>0</v>
      </c>
      <c r="AG229" s="102" t="n">
        <v>0</v>
      </c>
      <c r="AH229" s="102" t="n">
        <v>0</v>
      </c>
      <c r="AI229" s="102" t="n">
        <v>3</v>
      </c>
      <c r="AJ229" s="102" t="n">
        <v>0</v>
      </c>
      <c r="AK229" s="60" t="s">
        <v>475</v>
      </c>
      <c r="AL229" s="60" t="s">
        <v>136</v>
      </c>
      <c r="AM229" s="60" t="s">
        <v>137</v>
      </c>
      <c r="AN229" s="60" t="s">
        <v>476</v>
      </c>
    </row>
    <row r="230" customFormat="false" ht="15" hidden="false" customHeight="false" outlineLevel="0" collapsed="false">
      <c r="A230" s="1" t="n">
        <v>12</v>
      </c>
      <c r="B230" s="1" t="s">
        <v>492</v>
      </c>
      <c r="C230" s="1" t="s">
        <v>184</v>
      </c>
      <c r="D230" s="1" t="n">
        <v>10</v>
      </c>
      <c r="E230" s="78" t="str">
        <f aca="false">IF(D230&gt;8,"2 de 30h","1 de 44h")</f>
        <v>2 de 30h</v>
      </c>
      <c r="F230" s="95"/>
      <c r="G230" s="1" t="n">
        <v>1</v>
      </c>
      <c r="H230" s="96"/>
      <c r="I230" s="96" t="n">
        <v>2</v>
      </c>
      <c r="J230" s="96"/>
      <c r="K230" s="78" t="n">
        <v>0</v>
      </c>
      <c r="L230" s="96" t="n">
        <f aca="false">K230/4</f>
        <v>0</v>
      </c>
      <c r="M230" s="96" t="n">
        <f aca="false">I230+L230</f>
        <v>2</v>
      </c>
      <c r="N230" s="96" t="n">
        <f aca="false">J230</f>
        <v>0</v>
      </c>
      <c r="O230" s="1" t="s">
        <v>131</v>
      </c>
      <c r="P230" s="1" t="s">
        <v>480</v>
      </c>
      <c r="Q230" s="1" t="s">
        <v>131</v>
      </c>
      <c r="S230" s="1" t="n">
        <v>4445</v>
      </c>
      <c r="T230" s="97"/>
      <c r="U230" s="97"/>
      <c r="V230" s="98" t="n">
        <v>9410</v>
      </c>
      <c r="W230" s="98"/>
      <c r="X230" s="98" t="s">
        <v>493</v>
      </c>
      <c r="Y230" s="99"/>
      <c r="Z230" s="100"/>
      <c r="AA230" s="100"/>
      <c r="AB230" s="100" t="n">
        <v>2</v>
      </c>
      <c r="AC230" s="100"/>
      <c r="AD230" s="96"/>
      <c r="AE230" s="96" t="n">
        <f aca="false">M230</f>
        <v>2</v>
      </c>
      <c r="AF230" s="96" t="n">
        <f aca="false">N230</f>
        <v>0</v>
      </c>
      <c r="AG230" s="31" t="n">
        <v>0</v>
      </c>
      <c r="AH230" s="31" t="n">
        <v>0</v>
      </c>
      <c r="AI230" s="31" t="n">
        <v>2</v>
      </c>
      <c r="AJ230" s="31" t="n">
        <v>0</v>
      </c>
      <c r="AK230" s="60" t="s">
        <v>475</v>
      </c>
      <c r="AL230" s="60" t="s">
        <v>136</v>
      </c>
      <c r="AM230" s="60" t="s">
        <v>137</v>
      </c>
      <c r="AN230" s="60" t="s">
        <v>476</v>
      </c>
    </row>
    <row r="231" customFormat="false" ht="15" hidden="false" customHeight="false" outlineLevel="0" collapsed="false">
      <c r="A231" s="1" t="n">
        <v>13</v>
      </c>
      <c r="B231" s="1" t="s">
        <v>494</v>
      </c>
      <c r="C231" s="1" t="s">
        <v>197</v>
      </c>
      <c r="D231" s="1" t="n">
        <v>10</v>
      </c>
      <c r="E231" s="78" t="str">
        <f aca="false">IF(D231&gt;8,"2 de 30h","1 de 44h")</f>
        <v>2 de 30h</v>
      </c>
      <c r="F231" s="95"/>
      <c r="G231" s="1" t="n">
        <v>1</v>
      </c>
      <c r="H231" s="60"/>
      <c r="I231" s="60" t="n">
        <v>2</v>
      </c>
      <c r="J231" s="60"/>
      <c r="K231" s="78" t="n">
        <v>1</v>
      </c>
      <c r="L231" s="60" t="n">
        <f aca="false">ROUNDUP(K231/4,0)</f>
        <v>1</v>
      </c>
      <c r="M231" s="60" t="n">
        <f aca="false">I231+L231</f>
        <v>3</v>
      </c>
      <c r="N231" s="60" t="n">
        <f aca="false">J231</f>
        <v>0</v>
      </c>
      <c r="O231" s="1" t="s">
        <v>129</v>
      </c>
      <c r="P231" s="1" t="s">
        <v>130</v>
      </c>
      <c r="Q231" s="1" t="s">
        <v>131</v>
      </c>
      <c r="S231" s="1" t="n">
        <v>7924</v>
      </c>
      <c r="T231" s="97"/>
      <c r="U231" s="97"/>
      <c r="V231" s="98" t="n">
        <v>24812</v>
      </c>
      <c r="W231" s="98"/>
      <c r="X231" s="98" t="s">
        <v>444</v>
      </c>
      <c r="Y231" s="99"/>
      <c r="Z231" s="101"/>
      <c r="AA231" s="101"/>
      <c r="AB231" s="101" t="n">
        <v>3</v>
      </c>
      <c r="AC231" s="101"/>
      <c r="AD231" s="60"/>
      <c r="AE231" s="60" t="n">
        <f aca="false">M231</f>
        <v>3</v>
      </c>
      <c r="AF231" s="60" t="n">
        <f aca="false">N231</f>
        <v>0</v>
      </c>
      <c r="AG231" s="102" t="n">
        <v>0</v>
      </c>
      <c r="AH231" s="102" t="n">
        <v>0</v>
      </c>
      <c r="AI231" s="102" t="n">
        <v>3</v>
      </c>
      <c r="AJ231" s="102" t="n">
        <v>0</v>
      </c>
      <c r="AK231" s="60" t="s">
        <v>475</v>
      </c>
      <c r="AL231" s="60" t="s">
        <v>136</v>
      </c>
      <c r="AM231" s="60" t="s">
        <v>137</v>
      </c>
      <c r="AN231" s="60" t="s">
        <v>476</v>
      </c>
    </row>
    <row r="232" customFormat="false" ht="15" hidden="false" customHeight="false" outlineLevel="0" collapsed="false">
      <c r="A232" s="1" t="n">
        <v>14</v>
      </c>
      <c r="B232" s="1" t="s">
        <v>495</v>
      </c>
      <c r="C232" s="1" t="s">
        <v>184</v>
      </c>
      <c r="D232" s="1" t="n">
        <v>10</v>
      </c>
      <c r="E232" s="78" t="str">
        <f aca="false">IF(D232&gt;8,"2 de 30h","1 de 44h")</f>
        <v>2 de 30h</v>
      </c>
      <c r="F232" s="95"/>
      <c r="G232" s="1" t="n">
        <v>1</v>
      </c>
      <c r="H232" s="96"/>
      <c r="I232" s="96" t="n">
        <v>2</v>
      </c>
      <c r="J232" s="96"/>
      <c r="K232" s="78" t="n">
        <v>3</v>
      </c>
      <c r="L232" s="96" t="n">
        <f aca="false">ROUNDUP(K232/4,0)</f>
        <v>1</v>
      </c>
      <c r="M232" s="96" t="n">
        <f aca="false">I232+L232</f>
        <v>3</v>
      </c>
      <c r="N232" s="96" t="n">
        <f aca="false">J232</f>
        <v>0</v>
      </c>
      <c r="O232" s="1" t="s">
        <v>129</v>
      </c>
      <c r="P232" s="1" t="s">
        <v>431</v>
      </c>
      <c r="Q232" s="1" t="s">
        <v>131</v>
      </c>
      <c r="S232" s="1" t="n">
        <v>12069</v>
      </c>
      <c r="T232" s="97"/>
      <c r="U232" s="97"/>
      <c r="V232" s="98" t="n">
        <v>45797</v>
      </c>
      <c r="W232" s="98"/>
      <c r="X232" s="98" t="s">
        <v>374</v>
      </c>
      <c r="Y232" s="99"/>
      <c r="Z232" s="100"/>
      <c r="AA232" s="100"/>
      <c r="AB232" s="100" t="n">
        <v>2</v>
      </c>
      <c r="AC232" s="100" t="n">
        <v>1</v>
      </c>
      <c r="AD232" s="96"/>
      <c r="AE232" s="96" t="n">
        <f aca="false">M232</f>
        <v>3</v>
      </c>
      <c r="AF232" s="96" t="n">
        <f aca="false">N232</f>
        <v>0</v>
      </c>
      <c r="AG232" s="31" t="n">
        <v>0</v>
      </c>
      <c r="AH232" s="31" t="n">
        <v>0</v>
      </c>
      <c r="AI232" s="31" t="n">
        <v>3</v>
      </c>
      <c r="AJ232" s="31" t="n">
        <v>0</v>
      </c>
      <c r="AK232" s="60" t="s">
        <v>475</v>
      </c>
      <c r="AL232" s="60" t="s">
        <v>136</v>
      </c>
      <c r="AM232" s="60" t="s">
        <v>137</v>
      </c>
      <c r="AN232" s="60" t="s">
        <v>476</v>
      </c>
    </row>
    <row r="233" customFormat="false" ht="15" hidden="false" customHeight="false" outlineLevel="0" collapsed="false">
      <c r="A233" s="1" t="n">
        <v>15</v>
      </c>
      <c r="B233" s="1" t="s">
        <v>496</v>
      </c>
      <c r="C233" s="1" t="s">
        <v>140</v>
      </c>
      <c r="F233" s="95"/>
      <c r="G233" s="1" t="n">
        <v>1</v>
      </c>
      <c r="H233" s="60"/>
      <c r="I233" s="60"/>
      <c r="J233" s="60"/>
      <c r="K233" s="78" t="n">
        <v>0</v>
      </c>
      <c r="L233" s="60" t="n">
        <f aca="false">K233/4</f>
        <v>0</v>
      </c>
      <c r="M233" s="60" t="n">
        <f aca="false">I233+L233</f>
        <v>0</v>
      </c>
      <c r="N233" s="60" t="n">
        <f aca="false">J233</f>
        <v>0</v>
      </c>
      <c r="O233" s="1" t="s">
        <v>129</v>
      </c>
      <c r="P233" s="1" t="s">
        <v>130</v>
      </c>
      <c r="Q233" s="1" t="s">
        <v>131</v>
      </c>
      <c r="T233" s="97"/>
      <c r="U233" s="97"/>
      <c r="V233" s="98"/>
      <c r="W233" s="98"/>
      <c r="X233" s="98"/>
      <c r="Y233" s="99"/>
      <c r="Z233" s="101" t="n">
        <v>1</v>
      </c>
      <c r="AA233" s="101" t="n">
        <v>1</v>
      </c>
      <c r="AB233" s="101" t="n">
        <v>2</v>
      </c>
      <c r="AC233" s="101"/>
      <c r="AD233" s="60"/>
      <c r="AE233" s="60" t="n">
        <f aca="false">M233</f>
        <v>0</v>
      </c>
      <c r="AF233" s="60" t="n">
        <f aca="false">N233</f>
        <v>0</v>
      </c>
      <c r="AG233" s="102" t="n">
        <v>1</v>
      </c>
      <c r="AH233" s="102" t="n">
        <v>1</v>
      </c>
      <c r="AI233" s="102" t="n">
        <v>0</v>
      </c>
      <c r="AJ233" s="102" t="n">
        <v>0</v>
      </c>
      <c r="AK233" s="60" t="s">
        <v>475</v>
      </c>
      <c r="AL233" s="60" t="s">
        <v>136</v>
      </c>
      <c r="AM233" s="60" t="s">
        <v>137</v>
      </c>
      <c r="AN233" s="60" t="s">
        <v>476</v>
      </c>
    </row>
    <row r="234" customFormat="false" ht="9" hidden="false" customHeight="true" outlineLevel="0" collapsed="false">
      <c r="A234" s="106"/>
      <c r="B234" s="106"/>
      <c r="C234" s="106"/>
      <c r="D234" s="106"/>
      <c r="E234" s="107"/>
      <c r="F234" s="107"/>
      <c r="G234" s="106"/>
      <c r="H234" s="108"/>
      <c r="I234" s="108"/>
      <c r="J234" s="108"/>
      <c r="K234" s="107"/>
      <c r="L234" s="108"/>
      <c r="M234" s="108"/>
      <c r="N234" s="108"/>
      <c r="O234" s="106"/>
      <c r="P234" s="106"/>
      <c r="Q234" s="106"/>
      <c r="R234" s="106"/>
      <c r="S234" s="106"/>
      <c r="T234" s="109"/>
      <c r="U234" s="109"/>
      <c r="V234" s="109"/>
      <c r="W234" s="109"/>
      <c r="X234" s="109"/>
      <c r="Y234" s="109"/>
      <c r="Z234" s="110"/>
      <c r="AA234" s="110"/>
      <c r="AB234" s="110"/>
      <c r="AC234" s="110"/>
      <c r="AD234" s="108"/>
      <c r="AE234" s="108"/>
      <c r="AF234" s="108"/>
      <c r="AG234" s="108"/>
      <c r="AH234" s="108"/>
      <c r="AI234" s="108"/>
      <c r="AJ234" s="108"/>
      <c r="AK234" s="108"/>
      <c r="AL234" s="108"/>
      <c r="AM234" s="108"/>
      <c r="AN234" s="108"/>
    </row>
    <row r="235" customFormat="false" ht="15" hidden="false" customHeight="false" outlineLevel="0" collapsed="false">
      <c r="A235" s="1" t="n">
        <v>1</v>
      </c>
      <c r="B235" s="1" t="s">
        <v>497</v>
      </c>
      <c r="C235" s="1" t="s">
        <v>128</v>
      </c>
      <c r="F235" s="95"/>
      <c r="H235" s="60" t="n">
        <v>1</v>
      </c>
      <c r="I235" s="60"/>
      <c r="J235" s="60"/>
      <c r="L235" s="60" t="n">
        <f aca="false">K235/4</f>
        <v>0</v>
      </c>
      <c r="M235" s="60" t="n">
        <f aca="false">I235+L235</f>
        <v>0</v>
      </c>
      <c r="N235" s="60" t="n">
        <f aca="false">J235</f>
        <v>0</v>
      </c>
      <c r="O235" s="1" t="s">
        <v>129</v>
      </c>
      <c r="P235" s="1" t="s">
        <v>130</v>
      </c>
      <c r="Q235" s="1" t="s">
        <v>129</v>
      </c>
      <c r="R235" s="1" t="s">
        <v>129</v>
      </c>
      <c r="S235" s="1" t="n">
        <v>158498</v>
      </c>
      <c r="T235" s="97" t="s">
        <v>132</v>
      </c>
      <c r="U235" s="97"/>
      <c r="V235" s="98" t="n">
        <v>309011</v>
      </c>
      <c r="W235" s="98" t="s">
        <v>498</v>
      </c>
      <c r="X235" s="98" t="s">
        <v>499</v>
      </c>
      <c r="Y235" s="99" t="s">
        <v>132</v>
      </c>
      <c r="Z235" s="101" t="n">
        <v>1</v>
      </c>
      <c r="AA235" s="101" t="n">
        <v>1</v>
      </c>
      <c r="AB235" s="101"/>
      <c r="AC235" s="101"/>
      <c r="AD235" s="60" t="n">
        <f aca="false">H235</f>
        <v>1</v>
      </c>
      <c r="AE235" s="60" t="n">
        <f aca="false">M235</f>
        <v>0</v>
      </c>
      <c r="AF235" s="60" t="n">
        <f aca="false">N235</f>
        <v>0</v>
      </c>
      <c r="AG235" s="102" t="n">
        <v>0</v>
      </c>
      <c r="AH235" s="102" t="n">
        <v>1</v>
      </c>
      <c r="AI235" s="102" t="n">
        <v>0</v>
      </c>
      <c r="AJ235" s="102" t="n">
        <v>0</v>
      </c>
      <c r="AK235" s="60" t="s">
        <v>475</v>
      </c>
      <c r="AL235" s="60" t="s">
        <v>136</v>
      </c>
      <c r="AM235" s="60" t="s">
        <v>137</v>
      </c>
      <c r="AN235" s="60" t="s">
        <v>476</v>
      </c>
    </row>
    <row r="236" customFormat="false" ht="15" hidden="false" customHeight="false" outlineLevel="0" collapsed="false">
      <c r="A236" s="1" t="n">
        <v>2</v>
      </c>
      <c r="B236" s="1" t="s">
        <v>500</v>
      </c>
      <c r="C236" s="1" t="s">
        <v>128</v>
      </c>
      <c r="F236" s="95"/>
      <c r="H236" s="96"/>
      <c r="I236" s="96"/>
      <c r="J236" s="96"/>
      <c r="L236" s="96" t="n">
        <f aca="false">K236/4</f>
        <v>0</v>
      </c>
      <c r="M236" s="96" t="n">
        <f aca="false">I236+L236</f>
        <v>0</v>
      </c>
      <c r="N236" s="96" t="n">
        <f aca="false">J236</f>
        <v>0</v>
      </c>
      <c r="S236" s="1" t="n">
        <v>888</v>
      </c>
      <c r="T236" s="97"/>
      <c r="U236" s="97"/>
      <c r="V236" s="98" t="n">
        <v>17260</v>
      </c>
      <c r="W236" s="98"/>
      <c r="X236" s="98" t="s">
        <v>274</v>
      </c>
      <c r="Y236" s="99"/>
      <c r="Z236" s="100"/>
      <c r="AA236" s="100"/>
      <c r="AB236" s="100"/>
      <c r="AC236" s="100"/>
      <c r="AD236" s="96"/>
      <c r="AE236" s="96" t="n">
        <f aca="false">M236</f>
        <v>0</v>
      </c>
      <c r="AF236" s="96" t="n">
        <f aca="false">N236</f>
        <v>0</v>
      </c>
      <c r="AG236" s="31" t="n">
        <v>1</v>
      </c>
      <c r="AH236" s="31" t="n">
        <v>1</v>
      </c>
      <c r="AI236" s="31" t="n">
        <v>0</v>
      </c>
      <c r="AJ236" s="31" t="n">
        <v>0</v>
      </c>
      <c r="AK236" s="60" t="s">
        <v>475</v>
      </c>
      <c r="AL236" s="60" t="s">
        <v>136</v>
      </c>
      <c r="AM236" s="60" t="s">
        <v>137</v>
      </c>
      <c r="AN236" s="60" t="s">
        <v>476</v>
      </c>
    </row>
    <row r="237" customFormat="false" ht="15" hidden="false" customHeight="false" outlineLevel="0" collapsed="false">
      <c r="A237" s="1" t="n">
        <v>3</v>
      </c>
      <c r="B237" s="1" t="s">
        <v>501</v>
      </c>
      <c r="C237" s="1" t="s">
        <v>502</v>
      </c>
      <c r="D237" s="1" t="n">
        <v>10</v>
      </c>
      <c r="E237" s="78" t="str">
        <f aca="false">IF(D237&gt;8,"2 de 30h","1 de 44h")</f>
        <v>2 de 30h</v>
      </c>
      <c r="F237" s="95"/>
      <c r="G237" s="1" t="n">
        <v>1</v>
      </c>
      <c r="H237" s="60"/>
      <c r="I237" s="60" t="n">
        <v>2</v>
      </c>
      <c r="J237" s="60"/>
      <c r="K237" s="78" t="n">
        <v>10</v>
      </c>
      <c r="L237" s="60" t="n">
        <f aca="false">ROUNDUP(K237/4,0)</f>
        <v>3</v>
      </c>
      <c r="M237" s="60" t="n">
        <f aca="false">I237+L237</f>
        <v>5</v>
      </c>
      <c r="N237" s="60" t="n">
        <f aca="false">J237</f>
        <v>0</v>
      </c>
      <c r="O237" s="1" t="s">
        <v>129</v>
      </c>
      <c r="P237" s="1" t="s">
        <v>130</v>
      </c>
      <c r="Q237" s="1" t="s">
        <v>129</v>
      </c>
      <c r="R237" s="1" t="s">
        <v>129</v>
      </c>
      <c r="S237" s="1" t="n">
        <v>36949</v>
      </c>
      <c r="T237" s="97"/>
      <c r="U237" s="97"/>
      <c r="V237" s="98"/>
      <c r="W237" s="98"/>
      <c r="X237" s="98"/>
      <c r="Y237" s="99"/>
      <c r="Z237" s="101" t="n">
        <v>1</v>
      </c>
      <c r="AA237" s="101" t="n">
        <v>1</v>
      </c>
      <c r="AB237" s="101" t="n">
        <v>6</v>
      </c>
      <c r="AC237" s="101"/>
      <c r="AD237" s="60"/>
      <c r="AE237" s="60" t="n">
        <f aca="false">M237</f>
        <v>5</v>
      </c>
      <c r="AF237" s="60" t="n">
        <f aca="false">N237</f>
        <v>0</v>
      </c>
      <c r="AG237" s="102" t="n">
        <v>0</v>
      </c>
      <c r="AH237" s="102" t="n">
        <v>0</v>
      </c>
      <c r="AI237" s="102" t="n">
        <v>8</v>
      </c>
      <c r="AJ237" s="102" t="n">
        <v>0</v>
      </c>
      <c r="AK237" s="60" t="s">
        <v>475</v>
      </c>
      <c r="AL237" s="60" t="s">
        <v>136</v>
      </c>
      <c r="AM237" s="60" t="s">
        <v>137</v>
      </c>
      <c r="AN237" s="60" t="s">
        <v>476</v>
      </c>
    </row>
    <row r="238" customFormat="false" ht="15" hidden="false" customHeight="false" outlineLevel="0" collapsed="false">
      <c r="A238" s="1" t="n">
        <v>4</v>
      </c>
      <c r="B238" s="1" t="s">
        <v>503</v>
      </c>
      <c r="C238" s="1" t="s">
        <v>502</v>
      </c>
      <c r="D238" s="1" t="n">
        <v>10</v>
      </c>
      <c r="E238" s="78" t="str">
        <f aca="false">IF(D238&gt;8,"2 de 30h","1 de 44h")</f>
        <v>2 de 30h</v>
      </c>
      <c r="F238" s="95"/>
      <c r="G238" s="1" t="n">
        <v>1</v>
      </c>
      <c r="H238" s="96"/>
      <c r="I238" s="96" t="n">
        <v>2</v>
      </c>
      <c r="J238" s="96"/>
      <c r="K238" s="78" t="n">
        <v>6</v>
      </c>
      <c r="L238" s="96" t="n">
        <f aca="false">ROUNDUP(K238/4,0)</f>
        <v>2</v>
      </c>
      <c r="M238" s="96" t="n">
        <f aca="false">I238+L238</f>
        <v>4</v>
      </c>
      <c r="N238" s="96" t="n">
        <f aca="false">J238</f>
        <v>0</v>
      </c>
      <c r="O238" s="1" t="s">
        <v>129</v>
      </c>
      <c r="P238" s="1" t="s">
        <v>130</v>
      </c>
      <c r="Q238" s="1" t="s">
        <v>129</v>
      </c>
      <c r="R238" s="1" t="s">
        <v>129</v>
      </c>
      <c r="S238" s="1" t="n">
        <v>19894</v>
      </c>
      <c r="T238" s="97" t="s">
        <v>132</v>
      </c>
      <c r="U238" s="97"/>
      <c r="V238" s="98" t="n">
        <v>105503</v>
      </c>
      <c r="W238" s="98" t="s">
        <v>504</v>
      </c>
      <c r="X238" s="98" t="s">
        <v>505</v>
      </c>
      <c r="Y238" s="99" t="s">
        <v>132</v>
      </c>
      <c r="Z238" s="100"/>
      <c r="AA238" s="100"/>
      <c r="AB238" s="100" t="n">
        <v>6</v>
      </c>
      <c r="AC238" s="100"/>
      <c r="AD238" s="96"/>
      <c r="AE238" s="96" t="n">
        <f aca="false">M238</f>
        <v>4</v>
      </c>
      <c r="AF238" s="96" t="n">
        <f aca="false">N238</f>
        <v>0</v>
      </c>
      <c r="AG238" s="31" t="n">
        <v>0</v>
      </c>
      <c r="AH238" s="31" t="n">
        <v>0</v>
      </c>
      <c r="AI238" s="31" t="n">
        <v>4</v>
      </c>
      <c r="AJ238" s="31" t="n">
        <v>0</v>
      </c>
      <c r="AK238" s="60" t="s">
        <v>475</v>
      </c>
      <c r="AL238" s="60" t="s">
        <v>136</v>
      </c>
      <c r="AM238" s="60" t="s">
        <v>137</v>
      </c>
      <c r="AN238" s="60" t="s">
        <v>476</v>
      </c>
    </row>
    <row r="239" customFormat="false" ht="15" hidden="false" customHeight="false" outlineLevel="0" collapsed="false">
      <c r="A239" s="1" t="n">
        <v>5</v>
      </c>
      <c r="B239" s="1" t="s">
        <v>506</v>
      </c>
      <c r="C239" s="1" t="s">
        <v>507</v>
      </c>
      <c r="D239" s="1" t="n">
        <v>6</v>
      </c>
      <c r="E239" s="78" t="str">
        <f aca="false">IF(D239&gt;8,"2 de 30h","1 de 44h")</f>
        <v>1 de 44h</v>
      </c>
      <c r="F239" s="95"/>
      <c r="G239" s="1" t="n">
        <v>1</v>
      </c>
      <c r="H239" s="60"/>
      <c r="I239" s="60"/>
      <c r="J239" s="60" t="n">
        <v>1</v>
      </c>
      <c r="K239" s="78" t="n">
        <v>0</v>
      </c>
      <c r="L239" s="60" t="n">
        <f aca="false">K239/4</f>
        <v>0</v>
      </c>
      <c r="M239" s="60" t="n">
        <f aca="false">I239+L239</f>
        <v>0</v>
      </c>
      <c r="N239" s="60" t="n">
        <f aca="false">J239</f>
        <v>1</v>
      </c>
      <c r="O239" s="1" t="s">
        <v>129</v>
      </c>
      <c r="P239" s="1" t="s">
        <v>185</v>
      </c>
      <c r="Q239" s="1" t="s">
        <v>129</v>
      </c>
      <c r="R239" s="1" t="s">
        <v>131</v>
      </c>
      <c r="S239" s="1" t="n">
        <v>2112</v>
      </c>
      <c r="T239" s="97"/>
      <c r="U239" s="97"/>
      <c r="V239" s="98" t="n">
        <v>17330</v>
      </c>
      <c r="W239" s="98"/>
      <c r="X239" s="98" t="s">
        <v>386</v>
      </c>
      <c r="Y239" s="99"/>
      <c r="Z239" s="101"/>
      <c r="AA239" s="101"/>
      <c r="AB239" s="101" t="n">
        <v>3</v>
      </c>
      <c r="AC239" s="101"/>
      <c r="AD239" s="60"/>
      <c r="AE239" s="60" t="n">
        <f aca="false">M239</f>
        <v>0</v>
      </c>
      <c r="AF239" s="60" t="n">
        <f aca="false">N239</f>
        <v>1</v>
      </c>
      <c r="AG239" s="102" t="n">
        <v>0</v>
      </c>
      <c r="AH239" s="102" t="n">
        <v>0</v>
      </c>
      <c r="AI239" s="102" t="n">
        <v>0</v>
      </c>
      <c r="AJ239" s="102" t="n">
        <v>1</v>
      </c>
      <c r="AK239" s="60" t="s">
        <v>475</v>
      </c>
      <c r="AL239" s="60" t="s">
        <v>136</v>
      </c>
      <c r="AM239" s="60" t="s">
        <v>137</v>
      </c>
      <c r="AN239" s="60" t="s">
        <v>476</v>
      </c>
    </row>
    <row r="240" customFormat="false" ht="15" hidden="false" customHeight="false" outlineLevel="0" collapsed="false">
      <c r="A240" s="1" t="n">
        <v>6</v>
      </c>
      <c r="B240" s="1" t="s">
        <v>508</v>
      </c>
      <c r="C240" s="1" t="s">
        <v>502</v>
      </c>
      <c r="D240" s="1" t="n">
        <v>10</v>
      </c>
      <c r="E240" s="78" t="str">
        <f aca="false">IF(D240&gt;8,"2 de 30h","1 de 44h")</f>
        <v>2 de 30h</v>
      </c>
      <c r="F240" s="95"/>
      <c r="G240" s="1" t="n">
        <v>1</v>
      </c>
      <c r="H240" s="96"/>
      <c r="I240" s="96" t="n">
        <v>2</v>
      </c>
      <c r="J240" s="96"/>
      <c r="K240" s="78" t="n">
        <v>0</v>
      </c>
      <c r="L240" s="96" t="n">
        <f aca="false">K240/4</f>
        <v>0</v>
      </c>
      <c r="M240" s="96" t="n">
        <f aca="false">I240+L240</f>
        <v>2</v>
      </c>
      <c r="N240" s="96" t="n">
        <f aca="false">J240</f>
        <v>0</v>
      </c>
      <c r="O240" s="1" t="s">
        <v>131</v>
      </c>
      <c r="P240" s="1" t="s">
        <v>509</v>
      </c>
      <c r="Q240" s="1" t="s">
        <v>509</v>
      </c>
      <c r="R240" s="1" t="s">
        <v>509</v>
      </c>
      <c r="S240" s="1" t="n">
        <v>4215</v>
      </c>
      <c r="T240" s="97"/>
      <c r="U240" s="97"/>
      <c r="V240" s="98" t="n">
        <v>54854</v>
      </c>
      <c r="W240" s="98"/>
      <c r="X240" s="98" t="s">
        <v>364</v>
      </c>
      <c r="Y240" s="99"/>
      <c r="Z240" s="100"/>
      <c r="AA240" s="100"/>
      <c r="AB240" s="100" t="n">
        <v>4</v>
      </c>
      <c r="AC240" s="100"/>
      <c r="AD240" s="96"/>
      <c r="AE240" s="96" t="n">
        <f aca="false">M240</f>
        <v>2</v>
      </c>
      <c r="AF240" s="96" t="n">
        <f aca="false">N240</f>
        <v>0</v>
      </c>
      <c r="AG240" s="31" t="n">
        <v>0</v>
      </c>
      <c r="AH240" s="31" t="n">
        <v>0</v>
      </c>
      <c r="AI240" s="31" t="n">
        <v>2</v>
      </c>
      <c r="AJ240" s="31" t="n">
        <v>0</v>
      </c>
      <c r="AK240" s="60" t="s">
        <v>475</v>
      </c>
      <c r="AL240" s="60" t="s">
        <v>136</v>
      </c>
      <c r="AM240" s="60" t="s">
        <v>137</v>
      </c>
      <c r="AN240" s="60" t="s">
        <v>476</v>
      </c>
    </row>
    <row r="241" customFormat="false" ht="15" hidden="false" customHeight="false" outlineLevel="0" collapsed="false">
      <c r="A241" s="1" t="n">
        <v>7</v>
      </c>
      <c r="B241" s="1" t="s">
        <v>510</v>
      </c>
      <c r="C241" s="1" t="s">
        <v>502</v>
      </c>
      <c r="D241" s="1" t="n">
        <v>10</v>
      </c>
      <c r="E241" s="78" t="str">
        <f aca="false">IF(D241&gt;8,"2 de 30h","1 de 44h")</f>
        <v>2 de 30h</v>
      </c>
      <c r="F241" s="95"/>
      <c r="G241" s="1" t="n">
        <v>1</v>
      </c>
      <c r="H241" s="60"/>
      <c r="I241" s="60" t="n">
        <v>2</v>
      </c>
      <c r="J241" s="60"/>
      <c r="K241" s="78" t="n">
        <v>7</v>
      </c>
      <c r="L241" s="60" t="n">
        <f aca="false">ROUNDUP(K241/4,0)</f>
        <v>2</v>
      </c>
      <c r="M241" s="60" t="n">
        <f aca="false">I241+L241</f>
        <v>4</v>
      </c>
      <c r="N241" s="60" t="n">
        <f aca="false">J241</f>
        <v>0</v>
      </c>
      <c r="O241" s="1" t="s">
        <v>129</v>
      </c>
      <c r="P241" s="1" t="s">
        <v>130</v>
      </c>
      <c r="Q241" s="1" t="s">
        <v>129</v>
      </c>
      <c r="R241" s="1" t="s">
        <v>129</v>
      </c>
      <c r="S241" s="1" t="n">
        <v>28998</v>
      </c>
      <c r="T241" s="97"/>
      <c r="U241" s="97"/>
      <c r="V241" s="98" t="n">
        <v>183373</v>
      </c>
      <c r="W241" s="98" t="s">
        <v>511</v>
      </c>
      <c r="X241" s="98" t="s">
        <v>505</v>
      </c>
      <c r="Y241" s="99"/>
      <c r="Z241" s="101"/>
      <c r="AA241" s="101"/>
      <c r="AB241" s="101" t="n">
        <v>6</v>
      </c>
      <c r="AC241" s="101"/>
      <c r="AD241" s="60"/>
      <c r="AE241" s="60" t="n">
        <f aca="false">M241</f>
        <v>4</v>
      </c>
      <c r="AF241" s="60" t="n">
        <f aca="false">N241</f>
        <v>0</v>
      </c>
      <c r="AG241" s="102" t="n">
        <v>0</v>
      </c>
      <c r="AH241" s="102" t="n">
        <v>0</v>
      </c>
      <c r="AI241" s="102" t="n">
        <v>6</v>
      </c>
      <c r="AJ241" s="102" t="n">
        <v>0</v>
      </c>
      <c r="AK241" s="60" t="s">
        <v>475</v>
      </c>
      <c r="AL241" s="60" t="s">
        <v>136</v>
      </c>
      <c r="AM241" s="60" t="s">
        <v>137</v>
      </c>
      <c r="AN241" s="60" t="s">
        <v>476</v>
      </c>
    </row>
    <row r="242" customFormat="false" ht="15" hidden="false" customHeight="false" outlineLevel="0" collapsed="false">
      <c r="A242" s="1" t="n">
        <v>8</v>
      </c>
      <c r="B242" s="1" t="s">
        <v>512</v>
      </c>
      <c r="C242" s="1" t="s">
        <v>502</v>
      </c>
      <c r="D242" s="1" t="n">
        <v>10</v>
      </c>
      <c r="E242" s="78" t="str">
        <f aca="false">IF(D242&gt;8,"2 de 30h","1 de 44h")</f>
        <v>2 de 30h</v>
      </c>
      <c r="F242" s="95"/>
      <c r="G242" s="1" t="n">
        <v>1</v>
      </c>
      <c r="H242" s="96"/>
      <c r="I242" s="96" t="n">
        <v>2</v>
      </c>
      <c r="J242" s="96"/>
      <c r="K242" s="78" t="n">
        <v>4</v>
      </c>
      <c r="L242" s="96" t="n">
        <f aca="false">K242/4</f>
        <v>1</v>
      </c>
      <c r="M242" s="96" t="n">
        <f aca="false">I242+L242</f>
        <v>3</v>
      </c>
      <c r="N242" s="96" t="n">
        <f aca="false">J242</f>
        <v>0</v>
      </c>
      <c r="O242" s="1" t="s">
        <v>129</v>
      </c>
      <c r="P242" s="1" t="s">
        <v>130</v>
      </c>
      <c r="Q242" s="1" t="s">
        <v>131</v>
      </c>
      <c r="S242" s="1" t="n">
        <v>25572</v>
      </c>
      <c r="T242" s="97"/>
      <c r="U242" s="97"/>
      <c r="V242" s="98" t="n">
        <v>61198</v>
      </c>
      <c r="W242" s="98"/>
      <c r="X242" s="98" t="s">
        <v>513</v>
      </c>
      <c r="Y242" s="99"/>
      <c r="Z242" s="100"/>
      <c r="AA242" s="100"/>
      <c r="AB242" s="100" t="n">
        <v>6</v>
      </c>
      <c r="AC242" s="100"/>
      <c r="AD242" s="96"/>
      <c r="AE242" s="96" t="n">
        <f aca="false">M242</f>
        <v>3</v>
      </c>
      <c r="AF242" s="96" t="n">
        <f aca="false">N242</f>
        <v>0</v>
      </c>
      <c r="AG242" s="31" t="n">
        <v>0</v>
      </c>
      <c r="AH242" s="31" t="n">
        <v>0</v>
      </c>
      <c r="AI242" s="31" t="n">
        <v>3</v>
      </c>
      <c r="AJ242" s="31" t="n">
        <v>0</v>
      </c>
      <c r="AK242" s="60" t="s">
        <v>475</v>
      </c>
      <c r="AL242" s="60" t="s">
        <v>136</v>
      </c>
      <c r="AM242" s="60" t="s">
        <v>137</v>
      </c>
      <c r="AN242" s="60" t="s">
        <v>476</v>
      </c>
    </row>
    <row r="243" customFormat="false" ht="15" hidden="false" customHeight="false" outlineLevel="0" collapsed="false">
      <c r="A243" s="1" t="n">
        <v>9</v>
      </c>
      <c r="B243" s="1" t="s">
        <v>514</v>
      </c>
      <c r="C243" s="1" t="s">
        <v>502</v>
      </c>
      <c r="D243" s="1" t="n">
        <v>10</v>
      </c>
      <c r="E243" s="78" t="str">
        <f aca="false">IF(D243&gt;8,"2 de 30h","1 de 44h")</f>
        <v>2 de 30h</v>
      </c>
      <c r="F243" s="95"/>
      <c r="G243" s="1" t="n">
        <v>1</v>
      </c>
      <c r="H243" s="60"/>
      <c r="I243" s="60" t="n">
        <v>2</v>
      </c>
      <c r="J243" s="60"/>
      <c r="K243" s="78" t="n">
        <v>3</v>
      </c>
      <c r="L243" s="60" t="n">
        <f aca="false">ROUNDUP(K243/4,0)</f>
        <v>1</v>
      </c>
      <c r="M243" s="60" t="n">
        <f aca="false">I243+L243</f>
        <v>3</v>
      </c>
      <c r="N243" s="60" t="n">
        <f aca="false">J243</f>
        <v>0</v>
      </c>
      <c r="O243" s="1" t="s">
        <v>129</v>
      </c>
      <c r="P243" s="1" t="s">
        <v>185</v>
      </c>
      <c r="Q243" s="1" t="s">
        <v>131</v>
      </c>
      <c r="R243" s="1" t="s">
        <v>129</v>
      </c>
      <c r="S243" s="1" t="n">
        <v>14152</v>
      </c>
      <c r="T243" s="97" t="s">
        <v>132</v>
      </c>
      <c r="U243" s="97"/>
      <c r="V243" s="98" t="n">
        <v>36774</v>
      </c>
      <c r="W243" s="98"/>
      <c r="X243" s="98" t="s">
        <v>457</v>
      </c>
      <c r="Y243" s="99" t="s">
        <v>132</v>
      </c>
      <c r="Z243" s="101"/>
      <c r="AA243" s="101"/>
      <c r="AB243" s="101" t="n">
        <v>4</v>
      </c>
      <c r="AC243" s="101"/>
      <c r="AD243" s="60"/>
      <c r="AE243" s="60" t="n">
        <f aca="false">M243</f>
        <v>3</v>
      </c>
      <c r="AF243" s="60" t="n">
        <f aca="false">N243</f>
        <v>0</v>
      </c>
      <c r="AG243" s="102" t="n">
        <v>0</v>
      </c>
      <c r="AH243" s="102" t="n">
        <v>0</v>
      </c>
      <c r="AI243" s="102" t="n">
        <v>3</v>
      </c>
      <c r="AJ243" s="102" t="n">
        <v>0</v>
      </c>
      <c r="AK243" s="60" t="s">
        <v>475</v>
      </c>
      <c r="AL243" s="60" t="s">
        <v>136</v>
      </c>
      <c r="AM243" s="60" t="s">
        <v>137</v>
      </c>
      <c r="AN243" s="60" t="s">
        <v>476</v>
      </c>
    </row>
    <row r="244" customFormat="false" ht="15" hidden="false" customHeight="false" outlineLevel="0" collapsed="false">
      <c r="A244" s="1" t="n">
        <v>10</v>
      </c>
      <c r="B244" s="1" t="s">
        <v>515</v>
      </c>
      <c r="C244" s="1" t="s">
        <v>502</v>
      </c>
      <c r="D244" s="1" t="n">
        <v>10</v>
      </c>
      <c r="E244" s="78" t="str">
        <f aca="false">IF(D244&gt;8,"2 de 30h","1 de 44h")</f>
        <v>2 de 30h</v>
      </c>
      <c r="F244" s="95"/>
      <c r="G244" s="1" t="n">
        <v>1</v>
      </c>
      <c r="H244" s="96"/>
      <c r="I244" s="96" t="n">
        <v>2</v>
      </c>
      <c r="J244" s="96"/>
      <c r="K244" s="78" t="n">
        <v>6</v>
      </c>
      <c r="L244" s="96" t="n">
        <f aca="false">ROUNDUP(K244/4,0)</f>
        <v>2</v>
      </c>
      <c r="M244" s="96" t="n">
        <f aca="false">I244+L244</f>
        <v>4</v>
      </c>
      <c r="N244" s="96" t="n">
        <f aca="false">J244</f>
        <v>0</v>
      </c>
      <c r="O244" s="1" t="s">
        <v>131</v>
      </c>
      <c r="P244" s="1" t="s">
        <v>509</v>
      </c>
      <c r="Q244" s="1" t="s">
        <v>509</v>
      </c>
      <c r="R244" s="1" t="s">
        <v>509</v>
      </c>
      <c r="S244" s="1" t="n">
        <v>20277</v>
      </c>
      <c r="T244" s="97"/>
      <c r="U244" s="97"/>
      <c r="V244" s="98" t="n">
        <v>108089</v>
      </c>
      <c r="W244" s="98" t="n">
        <v>14</v>
      </c>
      <c r="X244" s="98" t="s">
        <v>516</v>
      </c>
      <c r="Y244" s="99"/>
      <c r="Z244" s="100"/>
      <c r="AA244" s="100"/>
      <c r="AB244" s="100" t="n">
        <v>4</v>
      </c>
      <c r="AC244" s="100"/>
      <c r="AD244" s="96"/>
      <c r="AE244" s="96" t="n">
        <f aca="false">M244</f>
        <v>4</v>
      </c>
      <c r="AF244" s="96" t="n">
        <f aca="false">N244</f>
        <v>0</v>
      </c>
      <c r="AG244" s="31" t="n">
        <v>0</v>
      </c>
      <c r="AH244" s="31" t="n">
        <v>0</v>
      </c>
      <c r="AI244" s="31" t="n">
        <v>4</v>
      </c>
      <c r="AJ244" s="31" t="n">
        <v>0</v>
      </c>
      <c r="AK244" s="60" t="s">
        <v>475</v>
      </c>
      <c r="AL244" s="60" t="s">
        <v>136</v>
      </c>
      <c r="AM244" s="60" t="s">
        <v>137</v>
      </c>
      <c r="AN244" s="60" t="s">
        <v>476</v>
      </c>
    </row>
    <row r="245" customFormat="false" ht="15" hidden="false" customHeight="false" outlineLevel="0" collapsed="false">
      <c r="A245" s="1" t="n">
        <v>11</v>
      </c>
      <c r="B245" s="1" t="s">
        <v>517</v>
      </c>
      <c r="C245" s="1" t="s">
        <v>502</v>
      </c>
      <c r="D245" s="1" t="n">
        <v>10</v>
      </c>
      <c r="E245" s="78" t="str">
        <f aca="false">IF(D245&gt;8,"2 de 30h","1 de 44h")</f>
        <v>2 de 30h</v>
      </c>
      <c r="F245" s="95"/>
      <c r="G245" s="1" t="n">
        <v>1</v>
      </c>
      <c r="H245" s="60"/>
      <c r="I245" s="60" t="n">
        <v>2</v>
      </c>
      <c r="J245" s="60"/>
      <c r="K245" s="78" t="n">
        <v>0</v>
      </c>
      <c r="L245" s="60" t="n">
        <f aca="false">K245/4</f>
        <v>0</v>
      </c>
      <c r="M245" s="60" t="n">
        <f aca="false">I245+L245</f>
        <v>2</v>
      </c>
      <c r="N245" s="60" t="n">
        <f aca="false">J245</f>
        <v>0</v>
      </c>
      <c r="O245" s="1" t="s">
        <v>129</v>
      </c>
      <c r="P245" s="1" t="s">
        <v>185</v>
      </c>
      <c r="Q245" s="1" t="s">
        <v>131</v>
      </c>
      <c r="R245" s="1" t="s">
        <v>129</v>
      </c>
      <c r="S245" s="1" t="n">
        <v>4386</v>
      </c>
      <c r="T245" s="97"/>
      <c r="U245" s="97"/>
      <c r="V245" s="98" t="n">
        <v>25141</v>
      </c>
      <c r="W245" s="98"/>
      <c r="X245" s="98" t="s">
        <v>239</v>
      </c>
      <c r="Y245" s="99"/>
      <c r="Z245" s="101"/>
      <c r="AA245" s="101"/>
      <c r="AB245" s="101" t="n">
        <v>2</v>
      </c>
      <c r="AC245" s="101"/>
      <c r="AD245" s="60"/>
      <c r="AE245" s="60" t="n">
        <f aca="false">M245</f>
        <v>2</v>
      </c>
      <c r="AF245" s="60" t="n">
        <f aca="false">N245</f>
        <v>0</v>
      </c>
      <c r="AG245" s="102" t="n">
        <v>0</v>
      </c>
      <c r="AH245" s="102" t="n">
        <v>0</v>
      </c>
      <c r="AI245" s="102" t="n">
        <v>2</v>
      </c>
      <c r="AJ245" s="102" t="n">
        <v>0</v>
      </c>
      <c r="AK245" s="60" t="s">
        <v>475</v>
      </c>
      <c r="AL245" s="60" t="s">
        <v>136</v>
      </c>
      <c r="AM245" s="60" t="s">
        <v>137</v>
      </c>
      <c r="AN245" s="60" t="s">
        <v>476</v>
      </c>
    </row>
    <row r="246" customFormat="false" ht="15" hidden="false" customHeight="false" outlineLevel="0" collapsed="false">
      <c r="A246" s="1" t="n">
        <v>12</v>
      </c>
      <c r="B246" s="1" t="s">
        <v>518</v>
      </c>
      <c r="C246" s="1" t="s">
        <v>502</v>
      </c>
      <c r="D246" s="1" t="n">
        <v>10</v>
      </c>
      <c r="E246" s="78" t="str">
        <f aca="false">IF(D246&gt;8,"2 de 30h","1 de 44h")</f>
        <v>2 de 30h</v>
      </c>
      <c r="F246" s="95"/>
      <c r="G246" s="1" t="n">
        <v>1</v>
      </c>
      <c r="H246" s="96"/>
      <c r="I246" s="96" t="n">
        <v>2</v>
      </c>
      <c r="J246" s="96"/>
      <c r="K246" s="78" t="n">
        <v>0</v>
      </c>
      <c r="L246" s="96" t="n">
        <f aca="false">K246/4</f>
        <v>0</v>
      </c>
      <c r="M246" s="96" t="n">
        <f aca="false">I246+L246</f>
        <v>2</v>
      </c>
      <c r="N246" s="96" t="n">
        <f aca="false">J246</f>
        <v>0</v>
      </c>
      <c r="O246" s="1" t="s">
        <v>129</v>
      </c>
      <c r="P246" s="1" t="s">
        <v>185</v>
      </c>
      <c r="Q246" s="1" t="s">
        <v>131</v>
      </c>
      <c r="R246" s="1" t="s">
        <v>129</v>
      </c>
      <c r="S246" s="1" t="n">
        <v>1055</v>
      </c>
      <c r="T246" s="97"/>
      <c r="U246" s="97"/>
      <c r="V246" s="98" t="n">
        <v>27759</v>
      </c>
      <c r="W246" s="98"/>
      <c r="X246" s="98" t="s">
        <v>519</v>
      </c>
      <c r="Y246" s="99"/>
      <c r="Z246" s="100"/>
      <c r="AA246" s="100"/>
      <c r="AB246" s="100" t="n">
        <v>2</v>
      </c>
      <c r="AC246" s="100"/>
      <c r="AD246" s="96"/>
      <c r="AE246" s="96" t="n">
        <f aca="false">M246</f>
        <v>2</v>
      </c>
      <c r="AF246" s="96" t="n">
        <f aca="false">N246</f>
        <v>0</v>
      </c>
      <c r="AG246" s="31" t="n">
        <v>0</v>
      </c>
      <c r="AH246" s="31" t="n">
        <v>0</v>
      </c>
      <c r="AI246" s="31" t="n">
        <v>2</v>
      </c>
      <c r="AJ246" s="31" t="n">
        <v>0</v>
      </c>
      <c r="AK246" s="60" t="s">
        <v>475</v>
      </c>
      <c r="AL246" s="60" t="s">
        <v>136</v>
      </c>
      <c r="AM246" s="60" t="s">
        <v>137</v>
      </c>
      <c r="AN246" s="60" t="s">
        <v>476</v>
      </c>
    </row>
    <row r="247" customFormat="false" ht="9" hidden="false" customHeight="true" outlineLevel="0" collapsed="false">
      <c r="A247" s="106"/>
      <c r="B247" s="106"/>
      <c r="C247" s="106"/>
      <c r="D247" s="106"/>
      <c r="E247" s="107"/>
      <c r="F247" s="107"/>
      <c r="G247" s="106"/>
      <c r="H247" s="108"/>
      <c r="I247" s="108"/>
      <c r="J247" s="108"/>
      <c r="K247" s="107"/>
      <c r="L247" s="108"/>
      <c r="M247" s="108"/>
      <c r="N247" s="108"/>
      <c r="O247" s="106"/>
      <c r="P247" s="106"/>
      <c r="Q247" s="106"/>
      <c r="R247" s="106"/>
      <c r="S247" s="106"/>
      <c r="T247" s="109"/>
      <c r="U247" s="109"/>
      <c r="V247" s="109"/>
      <c r="W247" s="109"/>
      <c r="X247" s="109"/>
      <c r="Y247" s="109"/>
      <c r="Z247" s="110"/>
      <c r="AA247" s="110"/>
      <c r="AB247" s="110"/>
      <c r="AC247" s="110"/>
      <c r="AD247" s="108"/>
      <c r="AE247" s="108"/>
      <c r="AF247" s="108"/>
      <c r="AG247" s="108"/>
      <c r="AH247" s="108"/>
      <c r="AI247" s="108"/>
      <c r="AJ247" s="108"/>
      <c r="AK247" s="108"/>
      <c r="AL247" s="108"/>
      <c r="AM247" s="108"/>
      <c r="AN247" s="108"/>
    </row>
    <row r="248" customFormat="false" ht="15" hidden="false" customHeight="false" outlineLevel="0" collapsed="false">
      <c r="A248" s="1" t="n">
        <v>1</v>
      </c>
      <c r="B248" s="1" t="s">
        <v>520</v>
      </c>
      <c r="C248" s="1" t="s">
        <v>128</v>
      </c>
      <c r="F248" s="95"/>
      <c r="G248" s="1" t="n">
        <v>2</v>
      </c>
      <c r="H248" s="96"/>
      <c r="I248" s="96" t="n">
        <v>2</v>
      </c>
      <c r="J248" s="96"/>
      <c r="K248" s="78" t="n">
        <v>0</v>
      </c>
      <c r="L248" s="96" t="n">
        <f aca="false">K248/4</f>
        <v>0</v>
      </c>
      <c r="M248" s="96" t="n">
        <f aca="false">I248+L248</f>
        <v>2</v>
      </c>
      <c r="N248" s="96" t="n">
        <f aca="false">J248</f>
        <v>0</v>
      </c>
      <c r="O248" s="1" t="n">
        <v>2</v>
      </c>
      <c r="P248" s="1" t="s">
        <v>130</v>
      </c>
      <c r="Q248" s="1" t="n">
        <v>1</v>
      </c>
      <c r="R248" s="1" t="n">
        <v>1</v>
      </c>
      <c r="S248" s="1" t="n">
        <v>226904</v>
      </c>
      <c r="T248" s="97"/>
      <c r="U248" s="97" t="s">
        <v>180</v>
      </c>
      <c r="V248" s="98" t="n">
        <v>183530</v>
      </c>
      <c r="W248" s="98" t="n">
        <v>18</v>
      </c>
      <c r="X248" s="98" t="s">
        <v>521</v>
      </c>
      <c r="Y248" s="99"/>
      <c r="Z248" s="100"/>
      <c r="AA248" s="100"/>
      <c r="AB248" s="100" t="n">
        <v>2</v>
      </c>
      <c r="AC248" s="100"/>
      <c r="AD248" s="96" t="n">
        <f aca="false">H248</f>
        <v>0</v>
      </c>
      <c r="AE248" s="96" t="n">
        <f aca="false">M248</f>
        <v>2</v>
      </c>
      <c r="AF248" s="96" t="n">
        <f aca="false">N248</f>
        <v>0</v>
      </c>
      <c r="AG248" s="31" t="n">
        <v>0</v>
      </c>
      <c r="AH248" s="31" t="n">
        <v>0</v>
      </c>
      <c r="AI248" s="31" t="n">
        <v>2</v>
      </c>
      <c r="AJ248" s="31" t="n">
        <v>0</v>
      </c>
      <c r="AK248" s="60" t="s">
        <v>475</v>
      </c>
      <c r="AL248" s="60" t="s">
        <v>136</v>
      </c>
      <c r="AM248" s="60" t="s">
        <v>137</v>
      </c>
      <c r="AN248" s="60" t="s">
        <v>476</v>
      </c>
    </row>
    <row r="249" customFormat="false" ht="15" hidden="false" customHeight="false" outlineLevel="0" collapsed="false">
      <c r="A249" s="1" t="n">
        <v>2</v>
      </c>
      <c r="B249" s="1" t="s">
        <v>522</v>
      </c>
      <c r="C249" s="1" t="s">
        <v>523</v>
      </c>
      <c r="D249" s="1" t="n">
        <v>6</v>
      </c>
      <c r="E249" s="78" t="str">
        <f aca="false">IF(D249&gt;8,"2 de 30h","1 de 44h")</f>
        <v>1 de 44h</v>
      </c>
      <c r="F249" s="95"/>
      <c r="G249" s="1" t="n">
        <v>1</v>
      </c>
      <c r="H249" s="60"/>
      <c r="I249" s="60"/>
      <c r="J249" s="60" t="n">
        <v>1</v>
      </c>
      <c r="K249" s="78" t="n">
        <v>1</v>
      </c>
      <c r="L249" s="60" t="n">
        <f aca="false">ROUNDUP(K249/4,0)</f>
        <v>1</v>
      </c>
      <c r="M249" s="60" t="n">
        <f aca="false">I249+L249</f>
        <v>1</v>
      </c>
      <c r="N249" s="60" t="n">
        <f aca="false">J249</f>
        <v>1</v>
      </c>
      <c r="O249" s="1" t="s">
        <v>131</v>
      </c>
      <c r="P249" s="1" t="s">
        <v>141</v>
      </c>
      <c r="Q249" s="1" t="s">
        <v>141</v>
      </c>
      <c r="R249" s="1" t="s">
        <v>141</v>
      </c>
      <c r="S249" s="1" t="n">
        <v>12961</v>
      </c>
      <c r="T249" s="97"/>
      <c r="U249" s="97"/>
      <c r="V249" s="98" t="n">
        <v>70762</v>
      </c>
      <c r="W249" s="98"/>
      <c r="X249" s="98" t="s">
        <v>524</v>
      </c>
      <c r="Y249" s="99"/>
      <c r="Z249" s="101"/>
      <c r="AA249" s="101"/>
      <c r="AB249" s="101" t="n">
        <v>2</v>
      </c>
      <c r="AC249" s="101"/>
      <c r="AD249" s="60"/>
      <c r="AE249" s="60" t="n">
        <f aca="false">M249</f>
        <v>1</v>
      </c>
      <c r="AF249" s="60" t="n">
        <f aca="false">N249</f>
        <v>1</v>
      </c>
      <c r="AG249" s="102" t="n">
        <v>0</v>
      </c>
      <c r="AH249" s="102" t="n">
        <v>0</v>
      </c>
      <c r="AI249" s="102" t="n">
        <v>2</v>
      </c>
      <c r="AJ249" s="102" t="n">
        <v>0</v>
      </c>
      <c r="AK249" s="60" t="s">
        <v>475</v>
      </c>
      <c r="AL249" s="60" t="s">
        <v>136</v>
      </c>
      <c r="AM249" s="60" t="s">
        <v>137</v>
      </c>
      <c r="AN249" s="60" t="s">
        <v>476</v>
      </c>
    </row>
    <row r="250" customFormat="false" ht="15" hidden="false" customHeight="false" outlineLevel="0" collapsed="false">
      <c r="A250" s="1" t="n">
        <v>3</v>
      </c>
      <c r="B250" s="1" t="s">
        <v>525</v>
      </c>
      <c r="C250" s="1" t="s">
        <v>526</v>
      </c>
      <c r="D250" s="1" t="n">
        <v>10</v>
      </c>
      <c r="E250" s="78" t="str">
        <f aca="false">IF(D250&gt;8,"2 de 30h","1 de 44h")</f>
        <v>2 de 30h</v>
      </c>
      <c r="F250" s="95"/>
      <c r="G250" s="1" t="n">
        <v>1</v>
      </c>
      <c r="H250" s="96"/>
      <c r="I250" s="96" t="n">
        <v>2</v>
      </c>
      <c r="J250" s="96"/>
      <c r="K250" s="78" t="n">
        <v>7</v>
      </c>
      <c r="L250" s="96" t="n">
        <f aca="false">ROUNDUP(K250/4,0)</f>
        <v>2</v>
      </c>
      <c r="M250" s="96" t="n">
        <f aca="false">I250+L250</f>
        <v>4</v>
      </c>
      <c r="N250" s="96" t="n">
        <f aca="false">J250</f>
        <v>0</v>
      </c>
      <c r="O250" s="1" t="s">
        <v>129</v>
      </c>
      <c r="P250" s="1" t="s">
        <v>130</v>
      </c>
      <c r="Q250" s="1" t="s">
        <v>129</v>
      </c>
      <c r="R250" s="1" t="s">
        <v>129</v>
      </c>
      <c r="S250" s="1" t="n">
        <v>40276</v>
      </c>
      <c r="T250" s="97"/>
      <c r="U250" s="97"/>
      <c r="V250" s="98"/>
      <c r="W250" s="98"/>
      <c r="X250" s="98"/>
      <c r="Y250" s="99"/>
      <c r="Z250" s="100" t="n">
        <v>1</v>
      </c>
      <c r="AA250" s="100" t="n">
        <v>1</v>
      </c>
      <c r="AB250" s="100"/>
      <c r="AC250" s="100" t="n">
        <v>1</v>
      </c>
      <c r="AD250" s="96"/>
      <c r="AE250" s="96" t="n">
        <f aca="false">M250</f>
        <v>4</v>
      </c>
      <c r="AF250" s="96" t="n">
        <f aca="false">N250</f>
        <v>0</v>
      </c>
      <c r="AG250" s="31" t="n">
        <v>0</v>
      </c>
      <c r="AH250" s="31" t="n">
        <v>1</v>
      </c>
      <c r="AI250" s="31" t="n">
        <v>4</v>
      </c>
      <c r="AJ250" s="31" t="n">
        <v>0</v>
      </c>
      <c r="AK250" s="60" t="s">
        <v>475</v>
      </c>
      <c r="AL250" s="60" t="s">
        <v>136</v>
      </c>
      <c r="AM250" s="60" t="s">
        <v>137</v>
      </c>
      <c r="AN250" s="60" t="s">
        <v>476</v>
      </c>
    </row>
    <row r="251" customFormat="false" ht="15" hidden="false" customHeight="false" outlineLevel="0" collapsed="false">
      <c r="A251" s="1" t="n">
        <v>4</v>
      </c>
      <c r="B251" s="1" t="s">
        <v>527</v>
      </c>
      <c r="C251" s="1" t="s">
        <v>528</v>
      </c>
      <c r="D251" s="1" t="n">
        <v>11</v>
      </c>
      <c r="E251" s="78" t="str">
        <f aca="false">IF(D251&gt;8,"2 de 30h","1 de 44h")</f>
        <v>2 de 30h</v>
      </c>
      <c r="F251" s="95"/>
      <c r="G251" s="1" t="n">
        <v>1</v>
      </c>
      <c r="H251" s="60"/>
      <c r="I251" s="60" t="n">
        <v>2</v>
      </c>
      <c r="J251" s="60"/>
      <c r="K251" s="78" t="n">
        <v>2</v>
      </c>
      <c r="L251" s="60" t="n">
        <f aca="false">ROUNDUP(K251/4,0)</f>
        <v>1</v>
      </c>
      <c r="M251" s="60" t="n">
        <f aca="false">I251+L251</f>
        <v>3</v>
      </c>
      <c r="N251" s="60" t="n">
        <f aca="false">J251</f>
        <v>0</v>
      </c>
      <c r="O251" s="1" t="s">
        <v>129</v>
      </c>
      <c r="P251" s="1" t="s">
        <v>529</v>
      </c>
      <c r="Q251" s="1" t="s">
        <v>131</v>
      </c>
      <c r="R251" s="1" t="s">
        <v>131</v>
      </c>
      <c r="S251" s="1" t="n">
        <v>12428</v>
      </c>
      <c r="T251" s="97"/>
      <c r="U251" s="97"/>
      <c r="V251" s="98" t="n">
        <v>68621</v>
      </c>
      <c r="W251" s="98"/>
      <c r="X251" s="98" t="s">
        <v>530</v>
      </c>
      <c r="Y251" s="99"/>
      <c r="Z251" s="101"/>
      <c r="AA251" s="101"/>
      <c r="AB251" s="101" t="n">
        <v>2</v>
      </c>
      <c r="AC251" s="101" t="n">
        <v>1</v>
      </c>
      <c r="AD251" s="60"/>
      <c r="AE251" s="60" t="n">
        <f aca="false">M251</f>
        <v>3</v>
      </c>
      <c r="AF251" s="60" t="n">
        <f aca="false">N251</f>
        <v>0</v>
      </c>
      <c r="AG251" s="102" t="n">
        <v>0</v>
      </c>
      <c r="AH251" s="102" t="n">
        <v>0</v>
      </c>
      <c r="AI251" s="102" t="n">
        <v>4</v>
      </c>
      <c r="AJ251" s="102" t="n">
        <v>0</v>
      </c>
      <c r="AK251" s="60" t="s">
        <v>475</v>
      </c>
      <c r="AL251" s="60" t="s">
        <v>136</v>
      </c>
      <c r="AM251" s="60" t="s">
        <v>137</v>
      </c>
      <c r="AN251" s="60" t="s">
        <v>476</v>
      </c>
    </row>
    <row r="252" customFormat="false" ht="15" hidden="false" customHeight="false" outlineLevel="0" collapsed="false">
      <c r="A252" s="1" t="n">
        <v>5</v>
      </c>
      <c r="B252" s="1" t="s">
        <v>531</v>
      </c>
      <c r="C252" s="1" t="s">
        <v>526</v>
      </c>
      <c r="D252" s="1" t="n">
        <v>10</v>
      </c>
      <c r="E252" s="78" t="str">
        <f aca="false">IF(D252&gt;8,"2 de 30h","1 de 44h")</f>
        <v>2 de 30h</v>
      </c>
      <c r="F252" s="95"/>
      <c r="G252" s="1" t="n">
        <v>1</v>
      </c>
      <c r="H252" s="96"/>
      <c r="I252" s="96" t="n">
        <v>2</v>
      </c>
      <c r="J252" s="96"/>
      <c r="K252" s="78" t="n">
        <v>4</v>
      </c>
      <c r="L252" s="96" t="n">
        <f aca="false">K252/4</f>
        <v>1</v>
      </c>
      <c r="M252" s="96" t="n">
        <f aca="false">I252+L252</f>
        <v>3</v>
      </c>
      <c r="N252" s="96" t="n">
        <f aca="false">J252</f>
        <v>0</v>
      </c>
      <c r="O252" s="1" t="s">
        <v>131</v>
      </c>
      <c r="P252" s="1" t="s">
        <v>141</v>
      </c>
      <c r="Q252" s="1" t="s">
        <v>141</v>
      </c>
      <c r="R252" s="1" t="s">
        <v>141</v>
      </c>
      <c r="S252" s="1" t="n">
        <v>19063</v>
      </c>
      <c r="T252" s="97"/>
      <c r="U252" s="97"/>
      <c r="V252" s="98" t="n">
        <v>27020</v>
      </c>
      <c r="W252" s="98"/>
      <c r="X252" s="98" t="s">
        <v>532</v>
      </c>
      <c r="Y252" s="99"/>
      <c r="Z252" s="100"/>
      <c r="AA252" s="100"/>
      <c r="AB252" s="100" t="n">
        <v>2</v>
      </c>
      <c r="AC252" s="100" t="n">
        <v>1</v>
      </c>
      <c r="AD252" s="96"/>
      <c r="AE252" s="96" t="n">
        <f aca="false">M252</f>
        <v>3</v>
      </c>
      <c r="AF252" s="96" t="n">
        <f aca="false">N252</f>
        <v>0</v>
      </c>
      <c r="AG252" s="31" t="n">
        <v>0</v>
      </c>
      <c r="AH252" s="31" t="n">
        <v>0</v>
      </c>
      <c r="AI252" s="31" t="n">
        <v>4</v>
      </c>
      <c r="AJ252" s="31" t="n">
        <v>0</v>
      </c>
      <c r="AK252" s="60" t="s">
        <v>475</v>
      </c>
      <c r="AL252" s="60" t="s">
        <v>136</v>
      </c>
      <c r="AM252" s="60" t="s">
        <v>137</v>
      </c>
      <c r="AN252" s="60" t="s">
        <v>476</v>
      </c>
    </row>
    <row r="253" customFormat="false" ht="15" hidden="false" customHeight="false" outlineLevel="0" collapsed="false">
      <c r="A253" s="1" t="n">
        <v>6</v>
      </c>
      <c r="B253" s="1" t="s">
        <v>533</v>
      </c>
      <c r="C253" s="1" t="s">
        <v>534</v>
      </c>
      <c r="D253" s="1" t="n">
        <v>5</v>
      </c>
      <c r="E253" s="78" t="str">
        <f aca="false">IF(D253&gt;8,"2 de 30h","1 de 44h")</f>
        <v>1 de 44h</v>
      </c>
      <c r="F253" s="95"/>
      <c r="G253" s="1" t="n">
        <v>1</v>
      </c>
      <c r="H253" s="60"/>
      <c r="I253" s="60"/>
      <c r="J253" s="60" t="n">
        <v>1</v>
      </c>
      <c r="K253" s="78" t="n">
        <v>1</v>
      </c>
      <c r="L253" s="60" t="n">
        <f aca="false">ROUNDUP(K253/4,0)</f>
        <v>1</v>
      </c>
      <c r="M253" s="60" t="n">
        <f aca="false">I253+L253</f>
        <v>1</v>
      </c>
      <c r="N253" s="60" t="n">
        <f aca="false">J253</f>
        <v>1</v>
      </c>
      <c r="O253" s="1" t="s">
        <v>131</v>
      </c>
      <c r="P253" s="1" t="s">
        <v>141</v>
      </c>
      <c r="Q253" s="1" t="s">
        <v>141</v>
      </c>
      <c r="S253" s="1" t="n">
        <v>11307</v>
      </c>
      <c r="T253" s="97"/>
      <c r="U253" s="97"/>
      <c r="V253" s="98" t="n">
        <v>22101</v>
      </c>
      <c r="W253" s="98"/>
      <c r="X253" s="98" t="s">
        <v>377</v>
      </c>
      <c r="Y253" s="99"/>
      <c r="Z253" s="101"/>
      <c r="AA253" s="101"/>
      <c r="AB253" s="101" t="n">
        <v>3</v>
      </c>
      <c r="AC253" s="101"/>
      <c r="AD253" s="60"/>
      <c r="AE253" s="60" t="n">
        <f aca="false">M253</f>
        <v>1</v>
      </c>
      <c r="AF253" s="60" t="n">
        <f aca="false">N253</f>
        <v>1</v>
      </c>
      <c r="AG253" s="102" t="n">
        <v>0</v>
      </c>
      <c r="AH253" s="102" t="n">
        <v>0</v>
      </c>
      <c r="AI253" s="102" t="n">
        <v>3</v>
      </c>
      <c r="AJ253" s="102" t="n">
        <v>0</v>
      </c>
      <c r="AK253" s="60" t="s">
        <v>475</v>
      </c>
      <c r="AL253" s="60" t="s">
        <v>136</v>
      </c>
      <c r="AM253" s="60" t="s">
        <v>137</v>
      </c>
      <c r="AN253" s="60" t="s">
        <v>476</v>
      </c>
    </row>
    <row r="254" customFormat="false" ht="15" hidden="false" customHeight="false" outlineLevel="0" collapsed="false">
      <c r="A254" s="1" t="n">
        <v>7</v>
      </c>
      <c r="B254" s="1" t="s">
        <v>535</v>
      </c>
      <c r="C254" s="1" t="s">
        <v>534</v>
      </c>
      <c r="D254" s="1" t="n">
        <v>5</v>
      </c>
      <c r="E254" s="78" t="str">
        <f aca="false">IF(D254&gt;8,"2 de 30h","1 de 44h")</f>
        <v>1 de 44h</v>
      </c>
      <c r="F254" s="95"/>
      <c r="G254" s="1" t="n">
        <v>1</v>
      </c>
      <c r="H254" s="96"/>
      <c r="I254" s="96"/>
      <c r="J254" s="96" t="n">
        <v>1</v>
      </c>
      <c r="K254" s="78" t="n">
        <v>0</v>
      </c>
      <c r="L254" s="96" t="n">
        <f aca="false">K254/4</f>
        <v>0</v>
      </c>
      <c r="M254" s="96" t="n">
        <f aca="false">I254+L254</f>
        <v>0</v>
      </c>
      <c r="N254" s="96" t="n">
        <f aca="false">J254</f>
        <v>1</v>
      </c>
      <c r="O254" s="1" t="s">
        <v>129</v>
      </c>
      <c r="P254" s="1" t="s">
        <v>130</v>
      </c>
      <c r="Q254" s="1" t="s">
        <v>129</v>
      </c>
      <c r="R254" s="1" t="s">
        <v>129</v>
      </c>
      <c r="S254" s="1" t="n">
        <v>7997</v>
      </c>
      <c r="T254" s="97"/>
      <c r="U254" s="97"/>
      <c r="V254" s="98" t="n">
        <v>21792</v>
      </c>
      <c r="W254" s="98"/>
      <c r="X254" s="98" t="s">
        <v>536</v>
      </c>
      <c r="Y254" s="99"/>
      <c r="Z254" s="100"/>
      <c r="AA254" s="100"/>
      <c r="AB254" s="100" t="n">
        <v>2</v>
      </c>
      <c r="AC254" s="100"/>
      <c r="AD254" s="96"/>
      <c r="AE254" s="96" t="n">
        <f aca="false">M254</f>
        <v>0</v>
      </c>
      <c r="AF254" s="96" t="n">
        <f aca="false">N254</f>
        <v>1</v>
      </c>
      <c r="AG254" s="31" t="n">
        <v>0</v>
      </c>
      <c r="AH254" s="31" t="n">
        <v>0</v>
      </c>
      <c r="AI254" s="31" t="n">
        <v>2</v>
      </c>
      <c r="AJ254" s="31" t="n">
        <v>0</v>
      </c>
      <c r="AK254" s="60" t="s">
        <v>475</v>
      </c>
      <c r="AL254" s="60" t="s">
        <v>136</v>
      </c>
      <c r="AM254" s="60" t="s">
        <v>137</v>
      </c>
      <c r="AN254" s="60" t="s">
        <v>476</v>
      </c>
    </row>
    <row r="255" customFormat="false" ht="15" hidden="false" customHeight="false" outlineLevel="0" collapsed="false">
      <c r="A255" s="1" t="n">
        <v>8</v>
      </c>
      <c r="B255" s="1" t="s">
        <v>537</v>
      </c>
      <c r="C255" s="1" t="s">
        <v>528</v>
      </c>
      <c r="D255" s="1" t="n">
        <v>11</v>
      </c>
      <c r="E255" s="78" t="str">
        <f aca="false">IF(D255&gt;8,"2 de 30h","1 de 44h")</f>
        <v>2 de 30h</v>
      </c>
      <c r="F255" s="95"/>
      <c r="G255" s="1" t="n">
        <v>1</v>
      </c>
      <c r="H255" s="60"/>
      <c r="I255" s="60" t="n">
        <v>2</v>
      </c>
      <c r="J255" s="60"/>
      <c r="K255" s="78" t="n">
        <v>5</v>
      </c>
      <c r="L255" s="60" t="n">
        <f aca="false">ROUNDUP(K255/4,0)</f>
        <v>2</v>
      </c>
      <c r="M255" s="60" t="n">
        <f aca="false">I255+L255</f>
        <v>4</v>
      </c>
      <c r="N255" s="60" t="n">
        <f aca="false">J255</f>
        <v>0</v>
      </c>
      <c r="O255" s="1" t="s">
        <v>129</v>
      </c>
      <c r="P255" s="1" t="s">
        <v>130</v>
      </c>
      <c r="Q255" s="1" t="s">
        <v>131</v>
      </c>
      <c r="R255" s="1" t="s">
        <v>131</v>
      </c>
      <c r="S255" s="1" t="n">
        <v>23354</v>
      </c>
      <c r="T255" s="97"/>
      <c r="U255" s="97"/>
      <c r="V255" s="98" t="n">
        <v>36306</v>
      </c>
      <c r="W255" s="98"/>
      <c r="X255" s="98" t="s">
        <v>538</v>
      </c>
      <c r="Y255" s="99"/>
      <c r="Z255" s="101"/>
      <c r="AA255" s="101"/>
      <c r="AB255" s="101" t="n">
        <v>3</v>
      </c>
      <c r="AC255" s="101"/>
      <c r="AD255" s="60"/>
      <c r="AE255" s="60" t="n">
        <f aca="false">M255</f>
        <v>4</v>
      </c>
      <c r="AF255" s="60" t="n">
        <f aca="false">N255</f>
        <v>0</v>
      </c>
      <c r="AG255" s="102" t="n">
        <v>0</v>
      </c>
      <c r="AH255" s="102" t="n">
        <v>0</v>
      </c>
      <c r="AI255" s="102" t="n">
        <v>3</v>
      </c>
      <c r="AJ255" s="102" t="n">
        <v>0</v>
      </c>
      <c r="AK255" s="60" t="s">
        <v>475</v>
      </c>
      <c r="AL255" s="60" t="s">
        <v>136</v>
      </c>
      <c r="AM255" s="60" t="s">
        <v>137</v>
      </c>
      <c r="AN255" s="60" t="s">
        <v>476</v>
      </c>
    </row>
    <row r="256" customFormat="false" ht="15" hidden="false" customHeight="false" outlineLevel="0" collapsed="false">
      <c r="A256" s="1" t="n">
        <v>9</v>
      </c>
      <c r="B256" s="1" t="s">
        <v>539</v>
      </c>
      <c r="C256" s="1" t="s">
        <v>526</v>
      </c>
      <c r="D256" s="1" t="n">
        <v>10</v>
      </c>
      <c r="E256" s="78" t="str">
        <f aca="false">IF(D256&gt;8,"2 de 30h","1 de 44h")</f>
        <v>2 de 30h</v>
      </c>
      <c r="F256" s="95"/>
      <c r="G256" s="1" t="n">
        <v>1</v>
      </c>
      <c r="H256" s="96"/>
      <c r="I256" s="96" t="n">
        <v>2</v>
      </c>
      <c r="J256" s="96"/>
      <c r="K256" s="78" t="n">
        <v>3</v>
      </c>
      <c r="L256" s="96" t="n">
        <f aca="false">ROUNDUP(K256/4,0)</f>
        <v>1</v>
      </c>
      <c r="M256" s="96" t="n">
        <f aca="false">I256+L256</f>
        <v>3</v>
      </c>
      <c r="N256" s="96" t="n">
        <f aca="false">J256</f>
        <v>0</v>
      </c>
      <c r="O256" s="1" t="s">
        <v>129</v>
      </c>
      <c r="P256" s="1" t="s">
        <v>130</v>
      </c>
      <c r="Q256" s="1" t="s">
        <v>129</v>
      </c>
      <c r="R256" s="1" t="s">
        <v>129</v>
      </c>
      <c r="S256" s="1" t="n">
        <v>19935</v>
      </c>
      <c r="T256" s="97"/>
      <c r="U256" s="97"/>
      <c r="V256" s="98" t="n">
        <v>47188</v>
      </c>
      <c r="W256" s="98"/>
      <c r="X256" s="98" t="s">
        <v>380</v>
      </c>
      <c r="Y256" s="99"/>
      <c r="Z256" s="100"/>
      <c r="AA256" s="100"/>
      <c r="AB256" s="100" t="n">
        <v>1</v>
      </c>
      <c r="AC256" s="100" t="n">
        <v>1</v>
      </c>
      <c r="AD256" s="96"/>
      <c r="AE256" s="96" t="n">
        <f aca="false">M256</f>
        <v>3</v>
      </c>
      <c r="AF256" s="96" t="n">
        <f aca="false">N256</f>
        <v>0</v>
      </c>
      <c r="AG256" s="31" t="n">
        <v>0</v>
      </c>
      <c r="AH256" s="31" t="n">
        <v>0</v>
      </c>
      <c r="AI256" s="31" t="n">
        <v>3</v>
      </c>
      <c r="AJ256" s="31" t="n">
        <v>0</v>
      </c>
      <c r="AK256" s="60" t="s">
        <v>475</v>
      </c>
      <c r="AL256" s="60" t="s">
        <v>136</v>
      </c>
      <c r="AM256" s="60" t="s">
        <v>137</v>
      </c>
      <c r="AN256" s="60" t="s">
        <v>476</v>
      </c>
    </row>
    <row r="257" customFormat="false" ht="15" hidden="false" customHeight="false" outlineLevel="0" collapsed="false">
      <c r="A257" s="1" t="n">
        <v>10</v>
      </c>
      <c r="B257" s="1" t="s">
        <v>540</v>
      </c>
      <c r="C257" s="1" t="s">
        <v>526</v>
      </c>
      <c r="D257" s="1" t="n">
        <v>10</v>
      </c>
      <c r="E257" s="78" t="str">
        <f aca="false">IF(D257&gt;8,"2 de 30h","1 de 44h")</f>
        <v>2 de 30h</v>
      </c>
      <c r="F257" s="95"/>
      <c r="G257" s="1" t="n">
        <v>1</v>
      </c>
      <c r="H257" s="60"/>
      <c r="I257" s="60" t="n">
        <v>2</v>
      </c>
      <c r="J257" s="60"/>
      <c r="K257" s="78" t="n">
        <v>3</v>
      </c>
      <c r="L257" s="60" t="n">
        <f aca="false">ROUNDUP(K257/4,0)</f>
        <v>1</v>
      </c>
      <c r="M257" s="60" t="n">
        <f aca="false">I257+L257</f>
        <v>3</v>
      </c>
      <c r="N257" s="60" t="n">
        <f aca="false">J257</f>
        <v>0</v>
      </c>
      <c r="O257" s="1" t="s">
        <v>129</v>
      </c>
      <c r="P257" s="1" t="s">
        <v>130</v>
      </c>
      <c r="Q257" s="1" t="s">
        <v>129</v>
      </c>
      <c r="R257" s="1" t="s">
        <v>129</v>
      </c>
      <c r="S257" s="1" t="n">
        <v>12737</v>
      </c>
      <c r="T257" s="97"/>
      <c r="U257" s="97"/>
      <c r="V257" s="98" t="n">
        <v>44128</v>
      </c>
      <c r="W257" s="98"/>
      <c r="X257" s="98" t="s">
        <v>541</v>
      </c>
      <c r="Y257" s="99"/>
      <c r="Z257" s="101"/>
      <c r="AA257" s="101"/>
      <c r="AB257" s="101" t="n">
        <v>2</v>
      </c>
      <c r="AC257" s="101" t="n">
        <v>1</v>
      </c>
      <c r="AD257" s="60"/>
      <c r="AE257" s="60" t="n">
        <f aca="false">M257</f>
        <v>3</v>
      </c>
      <c r="AF257" s="60" t="n">
        <f aca="false">N257</f>
        <v>0</v>
      </c>
      <c r="AG257" s="102" t="n">
        <v>0</v>
      </c>
      <c r="AH257" s="102" t="n">
        <v>0</v>
      </c>
      <c r="AI257" s="102" t="n">
        <v>4</v>
      </c>
      <c r="AJ257" s="102" t="n">
        <v>0</v>
      </c>
      <c r="AK257" s="60" t="s">
        <v>475</v>
      </c>
      <c r="AL257" s="60" t="s">
        <v>136</v>
      </c>
      <c r="AM257" s="60" t="s">
        <v>137</v>
      </c>
      <c r="AN257" s="60" t="s">
        <v>476</v>
      </c>
    </row>
    <row r="258" customFormat="false" ht="15" hidden="false" customHeight="false" outlineLevel="0" collapsed="false">
      <c r="A258" s="1" t="n">
        <v>11</v>
      </c>
      <c r="B258" s="1" t="s">
        <v>542</v>
      </c>
      <c r="C258" s="1" t="s">
        <v>523</v>
      </c>
      <c r="D258" s="1" t="n">
        <v>6</v>
      </c>
      <c r="E258" s="78" t="str">
        <f aca="false">IF(D258&gt;8,"2 de 30h","1 de 44h")</f>
        <v>1 de 44h</v>
      </c>
      <c r="F258" s="95"/>
      <c r="G258" s="1" t="n">
        <v>1</v>
      </c>
      <c r="H258" s="96"/>
      <c r="I258" s="96"/>
      <c r="J258" s="96" t="n">
        <v>1</v>
      </c>
      <c r="K258" s="78" t="n">
        <v>1</v>
      </c>
      <c r="L258" s="96" t="n">
        <f aca="false">ROUNDUP(K258/4,0)</f>
        <v>1</v>
      </c>
      <c r="M258" s="96" t="n">
        <f aca="false">I258+L258</f>
        <v>1</v>
      </c>
      <c r="N258" s="96" t="n">
        <f aca="false">J258</f>
        <v>1</v>
      </c>
      <c r="O258" s="1" t="s">
        <v>129</v>
      </c>
      <c r="P258" s="1" t="s">
        <v>130</v>
      </c>
      <c r="Q258" s="1" t="s">
        <v>129</v>
      </c>
      <c r="R258" s="1" t="s">
        <v>129</v>
      </c>
      <c r="S258" s="1" t="n">
        <v>11250</v>
      </c>
      <c r="T258" s="97"/>
      <c r="U258" s="97"/>
      <c r="V258" s="98" t="n">
        <v>32824</v>
      </c>
      <c r="W258" s="98"/>
      <c r="X258" s="98" t="s">
        <v>459</v>
      </c>
      <c r="Y258" s="99"/>
      <c r="Z258" s="100"/>
      <c r="AA258" s="100"/>
      <c r="AB258" s="100" t="n">
        <v>2</v>
      </c>
      <c r="AC258" s="100"/>
      <c r="AD258" s="96"/>
      <c r="AE258" s="96" t="n">
        <f aca="false">M258</f>
        <v>1</v>
      </c>
      <c r="AF258" s="96" t="n">
        <f aca="false">N258</f>
        <v>1</v>
      </c>
      <c r="AG258" s="31" t="n">
        <v>0</v>
      </c>
      <c r="AH258" s="31" t="n">
        <v>0</v>
      </c>
      <c r="AI258" s="31" t="n">
        <v>3</v>
      </c>
      <c r="AJ258" s="31" t="n">
        <v>0</v>
      </c>
      <c r="AK258" s="60" t="s">
        <v>475</v>
      </c>
      <c r="AL258" s="60" t="s">
        <v>136</v>
      </c>
      <c r="AM258" s="60" t="s">
        <v>137</v>
      </c>
      <c r="AN258" s="60" t="s">
        <v>476</v>
      </c>
    </row>
    <row r="259" customFormat="false" ht="15" hidden="false" customHeight="false" outlineLevel="0" collapsed="false">
      <c r="A259" s="1" t="n">
        <v>12</v>
      </c>
      <c r="B259" s="1" t="s">
        <v>543</v>
      </c>
      <c r="C259" s="1" t="s">
        <v>544</v>
      </c>
      <c r="D259" s="1" t="n">
        <v>6</v>
      </c>
      <c r="E259" s="78" t="str">
        <f aca="false">IF(D259&gt;8,"2 de 30h","1 de 44h")</f>
        <v>1 de 44h</v>
      </c>
      <c r="F259" s="95"/>
      <c r="G259" s="1" t="n">
        <v>1</v>
      </c>
      <c r="H259" s="60"/>
      <c r="I259" s="60"/>
      <c r="J259" s="60" t="n">
        <v>1</v>
      </c>
      <c r="K259" s="78" t="n">
        <v>2</v>
      </c>
      <c r="L259" s="60" t="n">
        <f aca="false">ROUNDUP(K259/4,0)</f>
        <v>1</v>
      </c>
      <c r="M259" s="60" t="n">
        <f aca="false">I259+L259</f>
        <v>1</v>
      </c>
      <c r="N259" s="60" t="n">
        <f aca="false">J259</f>
        <v>1</v>
      </c>
      <c r="O259" s="1" t="s">
        <v>131</v>
      </c>
      <c r="P259" s="1" t="s">
        <v>141</v>
      </c>
      <c r="Q259" s="1" t="s">
        <v>141</v>
      </c>
      <c r="S259" s="1" t="n">
        <v>12640</v>
      </c>
      <c r="T259" s="97"/>
      <c r="U259" s="97"/>
      <c r="V259" s="98" t="n">
        <v>20769</v>
      </c>
      <c r="W259" s="98"/>
      <c r="X259" s="98" t="s">
        <v>545</v>
      </c>
      <c r="Y259" s="99"/>
      <c r="Z259" s="101"/>
      <c r="AA259" s="101"/>
      <c r="AB259" s="101" t="n">
        <v>2</v>
      </c>
      <c r="AC259" s="101"/>
      <c r="AD259" s="60"/>
      <c r="AE259" s="60" t="n">
        <f aca="false">M259</f>
        <v>1</v>
      </c>
      <c r="AF259" s="60" t="n">
        <f aca="false">N259</f>
        <v>1</v>
      </c>
      <c r="AG259" s="102" t="n">
        <v>0</v>
      </c>
      <c r="AH259" s="102" t="n">
        <v>0</v>
      </c>
      <c r="AI259" s="102" t="n">
        <v>3</v>
      </c>
      <c r="AJ259" s="102" t="n">
        <v>0</v>
      </c>
      <c r="AK259" s="60" t="s">
        <v>475</v>
      </c>
      <c r="AL259" s="60" t="s">
        <v>136</v>
      </c>
      <c r="AM259" s="60" t="s">
        <v>137</v>
      </c>
      <c r="AN259" s="60" t="s">
        <v>476</v>
      </c>
    </row>
    <row r="260" customFormat="false" ht="15" hidden="false" customHeight="false" outlineLevel="0" collapsed="false">
      <c r="A260" s="1" t="n">
        <v>13</v>
      </c>
      <c r="B260" s="1" t="s">
        <v>546</v>
      </c>
      <c r="C260" s="1" t="s">
        <v>528</v>
      </c>
      <c r="D260" s="1" t="n">
        <v>11</v>
      </c>
      <c r="E260" s="78" t="str">
        <f aca="false">IF(D260&gt;8,"2 de 30h","1 de 44h")</f>
        <v>2 de 30h</v>
      </c>
      <c r="F260" s="95"/>
      <c r="G260" s="1" t="n">
        <v>1</v>
      </c>
      <c r="H260" s="96"/>
      <c r="I260" s="96" t="n">
        <v>2</v>
      </c>
      <c r="J260" s="96"/>
      <c r="K260" s="78" t="n">
        <v>3</v>
      </c>
      <c r="L260" s="96" t="n">
        <f aca="false">ROUNDUP(K260/4,0)</f>
        <v>1</v>
      </c>
      <c r="M260" s="96" t="n">
        <f aca="false">I260+L260</f>
        <v>3</v>
      </c>
      <c r="N260" s="96" t="n">
        <f aca="false">J260</f>
        <v>0</v>
      </c>
      <c r="O260" s="1" t="s">
        <v>129</v>
      </c>
      <c r="P260" s="1" t="s">
        <v>529</v>
      </c>
      <c r="Q260" s="1" t="s">
        <v>131</v>
      </c>
      <c r="R260" s="1" t="s">
        <v>131</v>
      </c>
      <c r="S260" s="1" t="n">
        <v>16570</v>
      </c>
      <c r="T260" s="97"/>
      <c r="U260" s="97"/>
      <c r="V260" s="98" t="n">
        <v>34553</v>
      </c>
      <c r="W260" s="98"/>
      <c r="X260" s="98" t="s">
        <v>268</v>
      </c>
      <c r="Y260" s="99"/>
      <c r="Z260" s="100"/>
      <c r="AA260" s="100"/>
      <c r="AB260" s="100" t="n">
        <v>2</v>
      </c>
      <c r="AC260" s="100" t="n">
        <v>1</v>
      </c>
      <c r="AD260" s="96"/>
      <c r="AE260" s="96" t="n">
        <f aca="false">M260</f>
        <v>3</v>
      </c>
      <c r="AF260" s="96" t="n">
        <f aca="false">N260</f>
        <v>0</v>
      </c>
      <c r="AG260" s="31" t="n">
        <v>0</v>
      </c>
      <c r="AH260" s="31" t="n">
        <v>0</v>
      </c>
      <c r="AI260" s="31" t="n">
        <v>4</v>
      </c>
      <c r="AJ260" s="31" t="n">
        <v>0</v>
      </c>
      <c r="AK260" s="60" t="s">
        <v>475</v>
      </c>
      <c r="AL260" s="60" t="s">
        <v>136</v>
      </c>
      <c r="AM260" s="60" t="s">
        <v>137</v>
      </c>
      <c r="AN260" s="60" t="s">
        <v>476</v>
      </c>
    </row>
    <row r="261" customFormat="false" ht="15" hidden="false" customHeight="false" outlineLevel="0" collapsed="false">
      <c r="A261" s="1" t="n">
        <v>14</v>
      </c>
      <c r="B261" s="1" t="s">
        <v>547</v>
      </c>
      <c r="C261" s="1" t="s">
        <v>528</v>
      </c>
      <c r="D261" s="1" t="n">
        <v>11</v>
      </c>
      <c r="E261" s="78" t="str">
        <f aca="false">IF(D261&gt;8,"2 de 30h","1 de 44h")</f>
        <v>2 de 30h</v>
      </c>
      <c r="F261" s="95"/>
      <c r="G261" s="1" t="n">
        <v>1</v>
      </c>
      <c r="H261" s="60"/>
      <c r="I261" s="60" t="n">
        <v>2</v>
      </c>
      <c r="J261" s="60"/>
      <c r="K261" s="78" t="n">
        <v>1</v>
      </c>
      <c r="L261" s="60" t="n">
        <f aca="false">ROUNDUP(K261/4,0)</f>
        <v>1</v>
      </c>
      <c r="M261" s="60" t="n">
        <f aca="false">I261+L261</f>
        <v>3</v>
      </c>
      <c r="N261" s="60" t="n">
        <f aca="false">J261</f>
        <v>0</v>
      </c>
      <c r="O261" s="1" t="s">
        <v>129</v>
      </c>
      <c r="P261" s="1" t="s">
        <v>130</v>
      </c>
      <c r="Q261" s="1" t="s">
        <v>131</v>
      </c>
      <c r="R261" s="1" t="s">
        <v>131</v>
      </c>
      <c r="S261" s="1" t="n">
        <v>8076</v>
      </c>
      <c r="T261" s="97"/>
      <c r="U261" s="97"/>
      <c r="V261" s="98" t="n">
        <v>16332</v>
      </c>
      <c r="W261" s="98"/>
      <c r="X261" s="98" t="s">
        <v>393</v>
      </c>
      <c r="Y261" s="99"/>
      <c r="Z261" s="101"/>
      <c r="AA261" s="101"/>
      <c r="AB261" s="101" t="n">
        <v>2</v>
      </c>
      <c r="AC261" s="101"/>
      <c r="AD261" s="60"/>
      <c r="AE261" s="60" t="n">
        <f aca="false">M261</f>
        <v>3</v>
      </c>
      <c r="AF261" s="60" t="n">
        <f aca="false">N261</f>
        <v>0</v>
      </c>
      <c r="AG261" s="102" t="n">
        <v>0</v>
      </c>
      <c r="AH261" s="102" t="n">
        <v>0</v>
      </c>
      <c r="AI261" s="102" t="n">
        <v>3</v>
      </c>
      <c r="AJ261" s="102" t="n">
        <v>0</v>
      </c>
      <c r="AK261" s="60" t="s">
        <v>475</v>
      </c>
      <c r="AL261" s="60" t="s">
        <v>136</v>
      </c>
      <c r="AM261" s="60" t="s">
        <v>137</v>
      </c>
      <c r="AN261" s="60" t="s">
        <v>476</v>
      </c>
    </row>
    <row r="262" customFormat="false" ht="15" hidden="false" customHeight="false" outlineLevel="0" collapsed="false">
      <c r="A262" s="1" t="n">
        <v>15</v>
      </c>
      <c r="B262" s="1" t="s">
        <v>548</v>
      </c>
      <c r="C262" s="1" t="s">
        <v>528</v>
      </c>
      <c r="D262" s="1" t="n">
        <v>11</v>
      </c>
      <c r="E262" s="78" t="str">
        <f aca="false">IF(D262&gt;8,"2 de 30h","1 de 44h")</f>
        <v>2 de 30h</v>
      </c>
      <c r="F262" s="95"/>
      <c r="G262" s="1" t="n">
        <v>1</v>
      </c>
      <c r="H262" s="96"/>
      <c r="I262" s="96" t="n">
        <v>2</v>
      </c>
      <c r="J262" s="96"/>
      <c r="K262" s="78" t="n">
        <v>1</v>
      </c>
      <c r="L262" s="96" t="n">
        <f aca="false">ROUNDUP(K262/4,0)</f>
        <v>1</v>
      </c>
      <c r="M262" s="96" t="n">
        <f aca="false">I262+L262</f>
        <v>3</v>
      </c>
      <c r="N262" s="96" t="n">
        <f aca="false">J262</f>
        <v>0</v>
      </c>
      <c r="O262" s="1" t="s">
        <v>129</v>
      </c>
      <c r="P262" s="1" t="s">
        <v>529</v>
      </c>
      <c r="Q262" s="1" t="s">
        <v>131</v>
      </c>
      <c r="R262" s="1" t="s">
        <v>131</v>
      </c>
      <c r="S262" s="1" t="n">
        <v>5321</v>
      </c>
      <c r="T262" s="97"/>
      <c r="U262" s="97"/>
      <c r="V262" s="98" t="n">
        <v>33493</v>
      </c>
      <c r="W262" s="98"/>
      <c r="X262" s="98" t="s">
        <v>367</v>
      </c>
      <c r="Y262" s="99"/>
      <c r="Z262" s="100"/>
      <c r="AA262" s="100"/>
      <c r="AB262" s="100" t="n">
        <v>2</v>
      </c>
      <c r="AC262" s="100"/>
      <c r="AD262" s="96"/>
      <c r="AE262" s="96" t="n">
        <f aca="false">M262</f>
        <v>3</v>
      </c>
      <c r="AF262" s="96" t="n">
        <f aca="false">N262</f>
        <v>0</v>
      </c>
      <c r="AG262" s="31" t="n">
        <v>0</v>
      </c>
      <c r="AH262" s="31" t="n">
        <v>0</v>
      </c>
      <c r="AI262" s="31" t="n">
        <v>3</v>
      </c>
      <c r="AJ262" s="31" t="n">
        <v>0</v>
      </c>
      <c r="AK262" s="60" t="s">
        <v>475</v>
      </c>
      <c r="AL262" s="60" t="s">
        <v>136</v>
      </c>
      <c r="AM262" s="60" t="s">
        <v>137</v>
      </c>
      <c r="AN262" s="60" t="s">
        <v>476</v>
      </c>
    </row>
    <row r="263" customFormat="false" ht="15" hidden="false" customHeight="false" outlineLevel="0" collapsed="false">
      <c r="A263" s="1" t="n">
        <v>16</v>
      </c>
      <c r="B263" s="1" t="s">
        <v>549</v>
      </c>
      <c r="C263" s="1" t="s">
        <v>534</v>
      </c>
      <c r="D263" s="1" t="n">
        <v>5</v>
      </c>
      <c r="E263" s="78" t="str">
        <f aca="false">IF(D263&gt;8,"2 de 30h","1 de 44h")</f>
        <v>1 de 44h</v>
      </c>
      <c r="F263" s="95"/>
      <c r="G263" s="1" t="n">
        <v>1</v>
      </c>
      <c r="H263" s="60"/>
      <c r="I263" s="60"/>
      <c r="J263" s="60" t="n">
        <v>1</v>
      </c>
      <c r="K263" s="78" t="n">
        <v>0</v>
      </c>
      <c r="L263" s="60" t="n">
        <f aca="false">K263/4</f>
        <v>0</v>
      </c>
      <c r="M263" s="60" t="n">
        <f aca="false">I263+L263</f>
        <v>0</v>
      </c>
      <c r="N263" s="60" t="n">
        <f aca="false">J263</f>
        <v>1</v>
      </c>
      <c r="O263" s="1" t="s">
        <v>129</v>
      </c>
      <c r="P263" s="1" t="s">
        <v>130</v>
      </c>
      <c r="Q263" s="1" t="s">
        <v>129</v>
      </c>
      <c r="R263" s="1" t="s">
        <v>131</v>
      </c>
      <c r="S263" s="1" t="n">
        <v>7418</v>
      </c>
      <c r="T263" s="97"/>
      <c r="U263" s="97"/>
      <c r="V263" s="98" t="n">
        <v>25713</v>
      </c>
      <c r="W263" s="98"/>
      <c r="X263" s="98" t="s">
        <v>545</v>
      </c>
      <c r="Y263" s="99"/>
      <c r="Z263" s="101"/>
      <c r="AA263" s="101"/>
      <c r="AB263" s="101" t="n">
        <v>2</v>
      </c>
      <c r="AC263" s="101"/>
      <c r="AD263" s="60"/>
      <c r="AE263" s="60" t="n">
        <f aca="false">M263</f>
        <v>0</v>
      </c>
      <c r="AF263" s="60" t="n">
        <f aca="false">N263</f>
        <v>1</v>
      </c>
      <c r="AG263" s="102" t="n">
        <v>0</v>
      </c>
      <c r="AH263" s="102" t="n">
        <v>0</v>
      </c>
      <c r="AI263" s="102" t="n">
        <v>2</v>
      </c>
      <c r="AJ263" s="102" t="n">
        <v>0</v>
      </c>
      <c r="AK263" s="60" t="s">
        <v>475</v>
      </c>
      <c r="AL263" s="60" t="s">
        <v>136</v>
      </c>
      <c r="AM263" s="60" t="s">
        <v>137</v>
      </c>
      <c r="AN263" s="60" t="s">
        <v>476</v>
      </c>
    </row>
    <row r="264" customFormat="false" ht="15" hidden="false" customHeight="false" outlineLevel="0" collapsed="false">
      <c r="A264" s="1" t="n">
        <v>17</v>
      </c>
      <c r="B264" s="1" t="s">
        <v>550</v>
      </c>
      <c r="C264" s="1" t="s">
        <v>523</v>
      </c>
      <c r="D264" s="1" t="n">
        <v>6</v>
      </c>
      <c r="E264" s="78" t="str">
        <f aca="false">IF(D264&gt;8,"2 de 30h","1 de 44h")</f>
        <v>1 de 44h</v>
      </c>
      <c r="F264" s="95"/>
      <c r="G264" s="1" t="n">
        <v>1</v>
      </c>
      <c r="H264" s="96"/>
      <c r="I264" s="96"/>
      <c r="J264" s="96" t="n">
        <v>1</v>
      </c>
      <c r="K264" s="78" t="n">
        <v>0</v>
      </c>
      <c r="L264" s="96" t="n">
        <f aca="false">K264/4</f>
        <v>0</v>
      </c>
      <c r="M264" s="96" t="n">
        <f aca="false">I264+L264</f>
        <v>0</v>
      </c>
      <c r="N264" s="96" t="n">
        <f aca="false">J264</f>
        <v>1</v>
      </c>
      <c r="O264" s="1" t="s">
        <v>129</v>
      </c>
      <c r="P264" s="1" t="s">
        <v>130</v>
      </c>
      <c r="Q264" s="1" t="s">
        <v>129</v>
      </c>
      <c r="R264" s="1" t="s">
        <v>131</v>
      </c>
      <c r="S264" s="1" t="n">
        <v>5571</v>
      </c>
      <c r="T264" s="97"/>
      <c r="U264" s="97"/>
      <c r="V264" s="98" t="n">
        <v>14811</v>
      </c>
      <c r="W264" s="98"/>
      <c r="X264" s="98" t="s">
        <v>173</v>
      </c>
      <c r="Y264" s="99"/>
      <c r="Z264" s="100"/>
      <c r="AA264" s="100"/>
      <c r="AB264" s="100" t="n">
        <v>2</v>
      </c>
      <c r="AC264" s="100"/>
      <c r="AD264" s="96"/>
      <c r="AE264" s="96" t="n">
        <f aca="false">M264</f>
        <v>0</v>
      </c>
      <c r="AF264" s="96" t="n">
        <f aca="false">N264</f>
        <v>1</v>
      </c>
      <c r="AG264" s="31" t="n">
        <v>0</v>
      </c>
      <c r="AH264" s="31" t="n">
        <v>0</v>
      </c>
      <c r="AI264" s="31" t="n">
        <v>2</v>
      </c>
      <c r="AJ264" s="31" t="n">
        <v>0</v>
      </c>
      <c r="AK264" s="60" t="s">
        <v>475</v>
      </c>
      <c r="AL264" s="60" t="s">
        <v>136</v>
      </c>
      <c r="AM264" s="60" t="s">
        <v>137</v>
      </c>
      <c r="AN264" s="60" t="s">
        <v>476</v>
      </c>
    </row>
    <row r="265" customFormat="false" ht="9" hidden="false" customHeight="true" outlineLevel="0" collapsed="false">
      <c r="A265" s="106"/>
      <c r="B265" s="106"/>
      <c r="C265" s="106"/>
      <c r="D265" s="106"/>
      <c r="E265" s="107"/>
      <c r="F265" s="111"/>
      <c r="G265" s="106"/>
      <c r="H265" s="108"/>
      <c r="I265" s="108"/>
      <c r="J265" s="108"/>
      <c r="K265" s="107"/>
      <c r="L265" s="108"/>
      <c r="M265" s="108"/>
      <c r="N265" s="108"/>
      <c r="O265" s="106"/>
      <c r="P265" s="106"/>
      <c r="Q265" s="106"/>
      <c r="R265" s="106"/>
      <c r="S265" s="106"/>
      <c r="T265" s="109"/>
      <c r="U265" s="109"/>
      <c r="V265" s="109"/>
      <c r="W265" s="109"/>
      <c r="X265" s="109"/>
      <c r="Y265" s="109"/>
      <c r="Z265" s="110"/>
      <c r="AA265" s="110"/>
      <c r="AB265" s="110"/>
      <c r="AC265" s="110"/>
      <c r="AD265" s="108"/>
      <c r="AE265" s="108"/>
      <c r="AF265" s="108"/>
      <c r="AG265" s="108"/>
      <c r="AH265" s="108"/>
      <c r="AI265" s="108"/>
      <c r="AJ265" s="108"/>
      <c r="AK265" s="108"/>
      <c r="AL265" s="108"/>
      <c r="AM265" s="108"/>
      <c r="AN265" s="108"/>
    </row>
    <row r="266" customFormat="false" ht="15" hidden="false" customHeight="false" outlineLevel="0" collapsed="false">
      <c r="A266" s="1" t="n">
        <v>1</v>
      </c>
      <c r="B266" s="1" t="s">
        <v>551</v>
      </c>
      <c r="C266" s="1" t="s">
        <v>140</v>
      </c>
      <c r="F266" s="95"/>
      <c r="H266" s="96"/>
      <c r="I266" s="96" t="n">
        <v>2</v>
      </c>
      <c r="J266" s="96"/>
      <c r="L266" s="96" t="n">
        <f aca="false">K266/4</f>
        <v>0</v>
      </c>
      <c r="M266" s="96" t="n">
        <f aca="false">I266+L266</f>
        <v>2</v>
      </c>
      <c r="N266" s="96" t="n">
        <f aca="false">J266</f>
        <v>0</v>
      </c>
      <c r="S266" s="1" t="n">
        <v>151527</v>
      </c>
      <c r="T266" s="97"/>
      <c r="U266" s="97"/>
      <c r="V266" s="98" t="n">
        <v>192308</v>
      </c>
      <c r="W266" s="98" t="s">
        <v>552</v>
      </c>
      <c r="X266" s="98" t="s">
        <v>553</v>
      </c>
      <c r="Y266" s="99"/>
      <c r="Z266" s="100"/>
      <c r="AA266" s="100"/>
      <c r="AB266" s="100"/>
      <c r="AC266" s="100"/>
      <c r="AD266" s="96" t="n">
        <f aca="false">H266</f>
        <v>0</v>
      </c>
      <c r="AE266" s="96" t="n">
        <f aca="false">M266</f>
        <v>2</v>
      </c>
      <c r="AF266" s="96" t="n">
        <f aca="false">N266</f>
        <v>0</v>
      </c>
      <c r="AG266" s="31" t="n">
        <v>0</v>
      </c>
      <c r="AH266" s="31" t="n">
        <v>0</v>
      </c>
      <c r="AI266" s="31" t="n">
        <v>2</v>
      </c>
      <c r="AJ266" s="31" t="n">
        <v>0</v>
      </c>
      <c r="AK266" s="60" t="s">
        <v>475</v>
      </c>
      <c r="AL266" s="60" t="s">
        <v>136</v>
      </c>
      <c r="AM266" s="60" t="s">
        <v>137</v>
      </c>
      <c r="AN266" s="60" t="s">
        <v>476</v>
      </c>
    </row>
    <row r="267" customFormat="false" ht="15" hidden="false" customHeight="false" outlineLevel="0" collapsed="false">
      <c r="A267" s="1" t="n">
        <v>2</v>
      </c>
      <c r="B267" s="1" t="s">
        <v>139</v>
      </c>
      <c r="C267" s="1" t="s">
        <v>140</v>
      </c>
      <c r="F267" s="95"/>
      <c r="G267" s="1" t="n">
        <v>0</v>
      </c>
      <c r="H267" s="60"/>
      <c r="I267" s="60"/>
      <c r="J267" s="60"/>
      <c r="K267" s="78" t="n">
        <v>0</v>
      </c>
      <c r="L267" s="60" t="n">
        <f aca="false">K267/4</f>
        <v>0</v>
      </c>
      <c r="M267" s="60" t="n">
        <f aca="false">I267+L267</f>
        <v>0</v>
      </c>
      <c r="N267" s="60" t="n">
        <f aca="false">J267</f>
        <v>0</v>
      </c>
      <c r="O267" s="1" t="s">
        <v>137</v>
      </c>
      <c r="P267" s="1" t="s">
        <v>314</v>
      </c>
      <c r="Q267" s="1" t="s">
        <v>137</v>
      </c>
      <c r="R267" s="1" t="s">
        <v>137</v>
      </c>
      <c r="T267" s="97"/>
      <c r="U267" s="97"/>
      <c r="V267" s="98"/>
      <c r="W267" s="98"/>
      <c r="X267" s="98"/>
      <c r="Y267" s="99"/>
      <c r="Z267" s="101" t="n">
        <v>1</v>
      </c>
      <c r="AA267" s="101" t="n">
        <v>1</v>
      </c>
      <c r="AB267" s="101"/>
      <c r="AC267" s="101"/>
      <c r="AD267" s="60"/>
      <c r="AE267" s="60" t="n">
        <f aca="false">M267</f>
        <v>0</v>
      </c>
      <c r="AF267" s="60" t="n">
        <f aca="false">N267</f>
        <v>0</v>
      </c>
      <c r="AG267" s="102" t="n">
        <v>0</v>
      </c>
      <c r="AH267" s="102" t="n">
        <v>0</v>
      </c>
      <c r="AI267" s="102" t="n">
        <v>0</v>
      </c>
      <c r="AJ267" s="102" t="n">
        <v>0</v>
      </c>
      <c r="AK267" s="60" t="s">
        <v>475</v>
      </c>
      <c r="AL267" s="60" t="s">
        <v>136</v>
      </c>
      <c r="AM267" s="60" t="s">
        <v>137</v>
      </c>
      <c r="AN267" s="60" t="s">
        <v>476</v>
      </c>
    </row>
    <row r="268" customFormat="false" ht="15" hidden="false" customHeight="false" outlineLevel="0" collapsed="false">
      <c r="A268" s="1" t="n">
        <v>3</v>
      </c>
      <c r="B268" s="1" t="s">
        <v>554</v>
      </c>
      <c r="C268" s="1" t="s">
        <v>197</v>
      </c>
      <c r="D268" s="1" t="n">
        <v>10</v>
      </c>
      <c r="E268" s="78" t="str">
        <f aca="false">IF(D268&gt;8,"2 de 30h","1 de 44h")</f>
        <v>2 de 30h</v>
      </c>
      <c r="F268" s="95"/>
      <c r="G268" s="1" t="n">
        <v>1</v>
      </c>
      <c r="H268" s="96"/>
      <c r="I268" s="96" t="n">
        <v>2</v>
      </c>
      <c r="J268" s="96"/>
      <c r="K268" s="78" t="n">
        <v>4</v>
      </c>
      <c r="L268" s="96" t="n">
        <f aca="false">K268/4</f>
        <v>1</v>
      </c>
      <c r="M268" s="96" t="n">
        <f aca="false">I268+L268</f>
        <v>3</v>
      </c>
      <c r="N268" s="96" t="n">
        <f aca="false">J268</f>
        <v>0</v>
      </c>
      <c r="O268" s="1" t="s">
        <v>137</v>
      </c>
      <c r="P268" s="1" t="s">
        <v>314</v>
      </c>
      <c r="Q268" s="1" t="s">
        <v>137</v>
      </c>
      <c r="R268" s="1" t="s">
        <v>137</v>
      </c>
      <c r="S268" s="1" t="n">
        <v>12203</v>
      </c>
      <c r="T268" s="97"/>
      <c r="U268" s="97"/>
      <c r="V268" s="98" t="n">
        <v>61310</v>
      </c>
      <c r="W268" s="98"/>
      <c r="X268" s="98" t="s">
        <v>383</v>
      </c>
      <c r="Y268" s="99"/>
      <c r="Z268" s="100"/>
      <c r="AA268" s="100"/>
      <c r="AB268" s="100" t="n">
        <v>4</v>
      </c>
      <c r="AC268" s="100"/>
      <c r="AD268" s="96"/>
      <c r="AE268" s="96" t="n">
        <f aca="false">M268</f>
        <v>3</v>
      </c>
      <c r="AF268" s="96" t="n">
        <f aca="false">N268</f>
        <v>0</v>
      </c>
      <c r="AG268" s="31" t="n">
        <v>0</v>
      </c>
      <c r="AH268" s="31" t="n">
        <v>0</v>
      </c>
      <c r="AI268" s="31" t="n">
        <v>3</v>
      </c>
      <c r="AJ268" s="31" t="n">
        <v>0</v>
      </c>
      <c r="AK268" s="60" t="s">
        <v>475</v>
      </c>
      <c r="AL268" s="60" t="s">
        <v>136</v>
      </c>
      <c r="AM268" s="60" t="s">
        <v>137</v>
      </c>
      <c r="AN268" s="60" t="s">
        <v>476</v>
      </c>
    </row>
    <row r="269" customFormat="false" ht="15" hidden="false" customHeight="false" outlineLevel="0" collapsed="false">
      <c r="A269" s="1" t="n">
        <v>4</v>
      </c>
      <c r="B269" s="1" t="s">
        <v>555</v>
      </c>
      <c r="C269" s="1" t="s">
        <v>197</v>
      </c>
      <c r="D269" s="1" t="n">
        <v>10</v>
      </c>
      <c r="E269" s="78" t="str">
        <f aca="false">IF(D269&gt;8,"2 de 30h","1 de 44h")</f>
        <v>2 de 30h</v>
      </c>
      <c r="F269" s="95"/>
      <c r="G269" s="1" t="n">
        <v>1</v>
      </c>
      <c r="H269" s="60"/>
      <c r="I269" s="60" t="n">
        <v>2</v>
      </c>
      <c r="J269" s="60"/>
      <c r="K269" s="78" t="n">
        <v>1</v>
      </c>
      <c r="L269" s="60" t="n">
        <f aca="false">ROUNDUP(K269/4,0)</f>
        <v>1</v>
      </c>
      <c r="M269" s="60" t="n">
        <f aca="false">I269+L269</f>
        <v>3</v>
      </c>
      <c r="N269" s="60" t="n">
        <f aca="false">J269</f>
        <v>0</v>
      </c>
      <c r="O269" s="1" t="s">
        <v>137</v>
      </c>
      <c r="P269" s="1" t="s">
        <v>314</v>
      </c>
      <c r="Q269" s="1" t="s">
        <v>137</v>
      </c>
      <c r="R269" s="1" t="s">
        <v>137</v>
      </c>
      <c r="S269" s="1" t="n">
        <v>11199</v>
      </c>
      <c r="T269" s="97"/>
      <c r="U269" s="97"/>
      <c r="V269" s="98" t="n">
        <v>29018</v>
      </c>
      <c r="W269" s="98"/>
      <c r="X269" s="98" t="s">
        <v>226</v>
      </c>
      <c r="Y269" s="99"/>
      <c r="Z269" s="101"/>
      <c r="AA269" s="101"/>
      <c r="AB269" s="101" t="n">
        <v>2</v>
      </c>
      <c r="AC269" s="101" t="n">
        <v>1</v>
      </c>
      <c r="AD269" s="60"/>
      <c r="AE269" s="60" t="n">
        <f aca="false">M269</f>
        <v>3</v>
      </c>
      <c r="AF269" s="60" t="n">
        <f aca="false">N269</f>
        <v>0</v>
      </c>
      <c r="AG269" s="102" t="n">
        <v>0</v>
      </c>
      <c r="AH269" s="102" t="n">
        <v>0</v>
      </c>
      <c r="AI269" s="102" t="n">
        <v>3</v>
      </c>
      <c r="AJ269" s="102" t="n">
        <v>0</v>
      </c>
      <c r="AK269" s="60" t="s">
        <v>475</v>
      </c>
      <c r="AL269" s="60" t="s">
        <v>136</v>
      </c>
      <c r="AM269" s="60" t="s">
        <v>137</v>
      </c>
      <c r="AN269" s="60" t="s">
        <v>476</v>
      </c>
    </row>
    <row r="270" customFormat="false" ht="15" hidden="false" customHeight="false" outlineLevel="0" collapsed="false">
      <c r="A270" s="1" t="n">
        <v>5</v>
      </c>
      <c r="B270" s="1" t="s">
        <v>556</v>
      </c>
      <c r="C270" s="1" t="s">
        <v>184</v>
      </c>
      <c r="D270" s="1" t="n">
        <v>10</v>
      </c>
      <c r="E270" s="78" t="str">
        <f aca="false">IF(D270&gt;8,"2 de 30h","1 de 44h")</f>
        <v>2 de 30h</v>
      </c>
      <c r="F270" s="95"/>
      <c r="G270" s="1" t="n">
        <v>1</v>
      </c>
      <c r="H270" s="96"/>
      <c r="I270" s="96" t="n">
        <v>2</v>
      </c>
      <c r="J270" s="96"/>
      <c r="K270" s="78" t="n">
        <v>6</v>
      </c>
      <c r="L270" s="96" t="n">
        <f aca="false">ROUNDUP(K270/4,0)</f>
        <v>2</v>
      </c>
      <c r="M270" s="96" t="n">
        <f aca="false">I270+L270</f>
        <v>4</v>
      </c>
      <c r="N270" s="96" t="n">
        <f aca="false">J270</f>
        <v>0</v>
      </c>
      <c r="O270" s="1" t="s">
        <v>137</v>
      </c>
      <c r="P270" s="1" t="s">
        <v>314</v>
      </c>
      <c r="Q270" s="1" t="s">
        <v>137</v>
      </c>
      <c r="R270" s="1" t="s">
        <v>136</v>
      </c>
      <c r="S270" s="1" t="n">
        <v>37352</v>
      </c>
      <c r="T270" s="97"/>
      <c r="U270" s="97"/>
      <c r="V270" s="98"/>
      <c r="W270" s="98"/>
      <c r="X270" s="98"/>
      <c r="Y270" s="99"/>
      <c r="Z270" s="100" t="n">
        <v>1</v>
      </c>
      <c r="AA270" s="100" t="n">
        <v>1</v>
      </c>
      <c r="AB270" s="100" t="n">
        <v>4</v>
      </c>
      <c r="AC270" s="100" t="n">
        <v>1</v>
      </c>
      <c r="AD270" s="96"/>
      <c r="AE270" s="96" t="n">
        <f aca="false">M270</f>
        <v>4</v>
      </c>
      <c r="AF270" s="96" t="n">
        <f aca="false">N270</f>
        <v>0</v>
      </c>
      <c r="AG270" s="31" t="n">
        <v>0</v>
      </c>
      <c r="AH270" s="31" t="n">
        <v>0</v>
      </c>
      <c r="AI270" s="31" t="n">
        <v>4</v>
      </c>
      <c r="AJ270" s="31" t="n">
        <v>0</v>
      </c>
      <c r="AK270" s="60" t="s">
        <v>475</v>
      </c>
      <c r="AL270" s="60" t="s">
        <v>136</v>
      </c>
      <c r="AM270" s="60" t="s">
        <v>137</v>
      </c>
      <c r="AN270" s="60" t="s">
        <v>476</v>
      </c>
    </row>
    <row r="271" customFormat="false" ht="15" hidden="false" customHeight="false" outlineLevel="0" collapsed="false">
      <c r="A271" s="1" t="n">
        <v>6</v>
      </c>
      <c r="B271" s="1" t="s">
        <v>557</v>
      </c>
      <c r="C271" s="1" t="s">
        <v>184</v>
      </c>
      <c r="D271" s="1" t="n">
        <v>10</v>
      </c>
      <c r="E271" s="78" t="str">
        <f aca="false">IF(D271&gt;8,"2 de 30h","1 de 44h")</f>
        <v>2 de 30h</v>
      </c>
      <c r="F271" s="95"/>
      <c r="G271" s="1" t="n">
        <v>1</v>
      </c>
      <c r="H271" s="60"/>
      <c r="I271" s="60" t="n">
        <v>2</v>
      </c>
      <c r="J271" s="60"/>
      <c r="K271" s="78" t="n">
        <v>0</v>
      </c>
      <c r="L271" s="60" t="n">
        <f aca="false">K271/4</f>
        <v>0</v>
      </c>
      <c r="M271" s="60" t="n">
        <f aca="false">I271+L271</f>
        <v>2</v>
      </c>
      <c r="N271" s="60" t="n">
        <f aca="false">J271</f>
        <v>0</v>
      </c>
      <c r="O271" s="1" t="s">
        <v>136</v>
      </c>
      <c r="P271" s="1" t="s">
        <v>136</v>
      </c>
      <c r="Q271" s="1" t="s">
        <v>136</v>
      </c>
      <c r="R271" s="1" t="s">
        <v>136</v>
      </c>
      <c r="S271" s="1" t="n">
        <v>14016</v>
      </c>
      <c r="T271" s="97"/>
      <c r="U271" s="97"/>
      <c r="V271" s="98" t="n">
        <v>51562</v>
      </c>
      <c r="W271" s="98"/>
      <c r="X271" s="98" t="s">
        <v>545</v>
      </c>
      <c r="Y271" s="99"/>
      <c r="Z271" s="101"/>
      <c r="AA271" s="101"/>
      <c r="AB271" s="101" t="n">
        <v>2</v>
      </c>
      <c r="AC271" s="101"/>
      <c r="AD271" s="60"/>
      <c r="AE271" s="60" t="n">
        <f aca="false">M271</f>
        <v>2</v>
      </c>
      <c r="AF271" s="60" t="n">
        <f aca="false">N271</f>
        <v>0</v>
      </c>
      <c r="AG271" s="102" t="n">
        <v>0</v>
      </c>
      <c r="AH271" s="102" t="n">
        <v>0</v>
      </c>
      <c r="AI271" s="102" t="n">
        <v>2</v>
      </c>
      <c r="AJ271" s="102" t="n">
        <v>0</v>
      </c>
      <c r="AK271" s="60" t="s">
        <v>475</v>
      </c>
      <c r="AL271" s="60" t="s">
        <v>136</v>
      </c>
      <c r="AM271" s="60" t="s">
        <v>137</v>
      </c>
      <c r="AN271" s="60" t="s">
        <v>476</v>
      </c>
    </row>
    <row r="272" customFormat="false" ht="15" hidden="false" customHeight="false" outlineLevel="0" collapsed="false">
      <c r="A272" s="1" t="n">
        <v>7</v>
      </c>
      <c r="B272" s="1" t="s">
        <v>558</v>
      </c>
      <c r="C272" s="1" t="s">
        <v>203</v>
      </c>
      <c r="D272" s="1" t="n">
        <v>6</v>
      </c>
      <c r="E272" s="78" t="str">
        <f aca="false">IF(D272&gt;8,"2 de 30h","1 de 44h")</f>
        <v>1 de 44h</v>
      </c>
      <c r="F272" s="95"/>
      <c r="G272" s="1" t="n">
        <v>1</v>
      </c>
      <c r="H272" s="96"/>
      <c r="I272" s="96"/>
      <c r="J272" s="96" t="n">
        <v>1</v>
      </c>
      <c r="K272" s="78" t="n">
        <v>1</v>
      </c>
      <c r="L272" s="96" t="n">
        <f aca="false">ROUNDUP(K272/4,0)</f>
        <v>1</v>
      </c>
      <c r="M272" s="96" t="n">
        <f aca="false">I272+L272</f>
        <v>1</v>
      </c>
      <c r="N272" s="96" t="n">
        <f aca="false">J272</f>
        <v>1</v>
      </c>
      <c r="O272" s="1" t="s">
        <v>137</v>
      </c>
      <c r="P272" s="1" t="s">
        <v>314</v>
      </c>
      <c r="Q272" s="1" t="s">
        <v>136</v>
      </c>
      <c r="R272" s="1" t="s">
        <v>136</v>
      </c>
      <c r="S272" s="1" t="n">
        <v>5571</v>
      </c>
      <c r="T272" s="97"/>
      <c r="U272" s="97"/>
      <c r="V272" s="98" t="n">
        <v>21393</v>
      </c>
      <c r="W272" s="98"/>
      <c r="X272" s="98" t="s">
        <v>266</v>
      </c>
      <c r="Y272" s="99"/>
      <c r="Z272" s="100"/>
      <c r="AA272" s="100"/>
      <c r="AB272" s="100" t="n">
        <v>2</v>
      </c>
      <c r="AC272" s="100"/>
      <c r="AD272" s="96"/>
      <c r="AE272" s="96" t="n">
        <f aca="false">M272</f>
        <v>1</v>
      </c>
      <c r="AF272" s="96" t="n">
        <f aca="false">N272</f>
        <v>1</v>
      </c>
      <c r="AG272" s="31" t="n">
        <v>0</v>
      </c>
      <c r="AH272" s="31" t="n">
        <v>0</v>
      </c>
      <c r="AI272" s="31" t="n">
        <v>1</v>
      </c>
      <c r="AJ272" s="31" t="n">
        <v>1</v>
      </c>
      <c r="AK272" s="60" t="s">
        <v>475</v>
      </c>
      <c r="AL272" s="60" t="s">
        <v>136</v>
      </c>
      <c r="AM272" s="60" t="s">
        <v>137</v>
      </c>
      <c r="AN272" s="60" t="s">
        <v>476</v>
      </c>
    </row>
    <row r="273" customFormat="false" ht="15" hidden="false" customHeight="false" outlineLevel="0" collapsed="false">
      <c r="A273" s="1" t="n">
        <v>8</v>
      </c>
      <c r="B273" s="1" t="s">
        <v>559</v>
      </c>
      <c r="C273" s="1" t="s">
        <v>184</v>
      </c>
      <c r="D273" s="1" t="n">
        <v>10</v>
      </c>
      <c r="E273" s="78" t="str">
        <f aca="false">IF(D273&gt;8,"2 de 30h","1 de 44h")</f>
        <v>2 de 30h</v>
      </c>
      <c r="F273" s="95"/>
      <c r="G273" s="1" t="n">
        <v>1</v>
      </c>
      <c r="H273" s="60"/>
      <c r="I273" s="60" t="n">
        <v>2</v>
      </c>
      <c r="J273" s="60"/>
      <c r="K273" s="78" t="n">
        <v>7</v>
      </c>
      <c r="L273" s="60" t="n">
        <f aca="false">ROUNDUP(K273/4,0)</f>
        <v>2</v>
      </c>
      <c r="M273" s="60" t="n">
        <f aca="false">I273+L273</f>
        <v>4</v>
      </c>
      <c r="N273" s="60" t="n">
        <f aca="false">J273</f>
        <v>0</v>
      </c>
      <c r="O273" s="1" t="s">
        <v>137</v>
      </c>
      <c r="P273" s="1" t="s">
        <v>314</v>
      </c>
      <c r="Q273" s="1" t="s">
        <v>137</v>
      </c>
      <c r="R273" s="1" t="s">
        <v>136</v>
      </c>
      <c r="S273" s="1" t="n">
        <v>30212</v>
      </c>
      <c r="T273" s="97"/>
      <c r="U273" s="97"/>
      <c r="V273" s="98" t="n">
        <v>97235</v>
      </c>
      <c r="W273" s="98" t="s">
        <v>560</v>
      </c>
      <c r="X273" s="98" t="s">
        <v>374</v>
      </c>
      <c r="Y273" s="99"/>
      <c r="Z273" s="101" t="n">
        <v>1</v>
      </c>
      <c r="AA273" s="101" t="n">
        <v>1</v>
      </c>
      <c r="AB273" s="101" t="n">
        <v>2</v>
      </c>
      <c r="AC273" s="101" t="n">
        <v>1</v>
      </c>
      <c r="AD273" s="60"/>
      <c r="AE273" s="60" t="n">
        <f aca="false">M273</f>
        <v>4</v>
      </c>
      <c r="AF273" s="60" t="n">
        <f aca="false">N273</f>
        <v>0</v>
      </c>
      <c r="AG273" s="102" t="n">
        <v>0</v>
      </c>
      <c r="AH273" s="102" t="n">
        <v>0</v>
      </c>
      <c r="AI273" s="102" t="n">
        <v>4</v>
      </c>
      <c r="AJ273" s="102" t="n">
        <v>0</v>
      </c>
      <c r="AK273" s="60" t="s">
        <v>475</v>
      </c>
      <c r="AL273" s="60" t="s">
        <v>136</v>
      </c>
      <c r="AM273" s="60" t="s">
        <v>137</v>
      </c>
      <c r="AN273" s="60" t="s">
        <v>476</v>
      </c>
    </row>
    <row r="274" customFormat="false" ht="15" hidden="false" customHeight="false" outlineLevel="0" collapsed="false">
      <c r="A274" s="1" t="n">
        <v>9</v>
      </c>
      <c r="B274" s="1" t="s">
        <v>561</v>
      </c>
      <c r="C274" s="1" t="s">
        <v>197</v>
      </c>
      <c r="D274" s="1" t="n">
        <v>10</v>
      </c>
      <c r="E274" s="78" t="str">
        <f aca="false">IF(D274&gt;8,"2 de 30h","1 de 44h")</f>
        <v>2 de 30h</v>
      </c>
      <c r="F274" s="95"/>
      <c r="G274" s="1" t="n">
        <v>1</v>
      </c>
      <c r="H274" s="96"/>
      <c r="I274" s="96" t="n">
        <v>2</v>
      </c>
      <c r="J274" s="96"/>
      <c r="K274" s="78" t="n">
        <v>0</v>
      </c>
      <c r="L274" s="96" t="n">
        <f aca="false">K274/4</f>
        <v>0</v>
      </c>
      <c r="M274" s="96" t="n">
        <f aca="false">I274+L274</f>
        <v>2</v>
      </c>
      <c r="N274" s="96" t="n">
        <f aca="false">J274</f>
        <v>0</v>
      </c>
      <c r="O274" s="1" t="s">
        <v>136</v>
      </c>
      <c r="P274" s="1" t="s">
        <v>136</v>
      </c>
      <c r="Q274" s="1" t="s">
        <v>136</v>
      </c>
      <c r="R274" s="1" t="s">
        <v>136</v>
      </c>
      <c r="S274" s="1" t="n">
        <v>5923</v>
      </c>
      <c r="T274" s="97"/>
      <c r="U274" s="97"/>
      <c r="V274" s="98" t="n">
        <v>20223</v>
      </c>
      <c r="W274" s="98"/>
      <c r="X274" s="98" t="s">
        <v>390</v>
      </c>
      <c r="Y274" s="99"/>
      <c r="Z274" s="100"/>
      <c r="AA274" s="100"/>
      <c r="AB274" s="100" t="n">
        <v>2</v>
      </c>
      <c r="AC274" s="100"/>
      <c r="AD274" s="96"/>
      <c r="AE274" s="96" t="n">
        <f aca="false">M274</f>
        <v>2</v>
      </c>
      <c r="AF274" s="96" t="n">
        <f aca="false">N274</f>
        <v>0</v>
      </c>
      <c r="AG274" s="31" t="n">
        <v>0</v>
      </c>
      <c r="AH274" s="31" t="n">
        <v>0</v>
      </c>
      <c r="AI274" s="31" t="n">
        <v>2</v>
      </c>
      <c r="AJ274" s="31" t="n">
        <v>0</v>
      </c>
      <c r="AK274" s="60" t="s">
        <v>475</v>
      </c>
      <c r="AL274" s="60" t="s">
        <v>136</v>
      </c>
      <c r="AM274" s="60" t="s">
        <v>137</v>
      </c>
      <c r="AN274" s="60" t="s">
        <v>476</v>
      </c>
    </row>
    <row r="275" customFormat="false" ht="15" hidden="false" customHeight="false" outlineLevel="0" collapsed="false">
      <c r="A275" s="1" t="n">
        <v>10</v>
      </c>
      <c r="B275" s="1" t="s">
        <v>562</v>
      </c>
      <c r="C275" s="1" t="s">
        <v>184</v>
      </c>
      <c r="D275" s="1" t="n">
        <v>10</v>
      </c>
      <c r="E275" s="78" t="str">
        <f aca="false">IF(D275&gt;8,"2 de 30h","1 de 44h")</f>
        <v>2 de 30h</v>
      </c>
      <c r="F275" s="95"/>
      <c r="G275" s="1" t="n">
        <v>1</v>
      </c>
      <c r="H275" s="60"/>
      <c r="I275" s="60" t="n">
        <v>2</v>
      </c>
      <c r="J275" s="60"/>
      <c r="K275" s="78" t="n">
        <v>0</v>
      </c>
      <c r="L275" s="60" t="n">
        <f aca="false">K275/4</f>
        <v>0</v>
      </c>
      <c r="M275" s="60" t="n">
        <f aca="false">I275+L275</f>
        <v>2</v>
      </c>
      <c r="N275" s="60" t="n">
        <f aca="false">J275</f>
        <v>0</v>
      </c>
      <c r="O275" s="1" t="s">
        <v>136</v>
      </c>
      <c r="P275" s="1" t="s">
        <v>136</v>
      </c>
      <c r="Q275" s="1" t="s">
        <v>136</v>
      </c>
      <c r="R275" s="1" t="s">
        <v>136</v>
      </c>
      <c r="S275" s="1" t="n">
        <v>8691</v>
      </c>
      <c r="T275" s="97"/>
      <c r="U275" s="97"/>
      <c r="V275" s="98" t="n">
        <v>58833</v>
      </c>
      <c r="W275" s="98"/>
      <c r="X275" s="98" t="s">
        <v>391</v>
      </c>
      <c r="Y275" s="99"/>
      <c r="Z275" s="101"/>
      <c r="AA275" s="101"/>
      <c r="AB275" s="101" t="n">
        <v>2</v>
      </c>
      <c r="AC275" s="101" t="n">
        <v>1</v>
      </c>
      <c r="AD275" s="60"/>
      <c r="AE275" s="60" t="n">
        <f aca="false">M275</f>
        <v>2</v>
      </c>
      <c r="AF275" s="60" t="n">
        <f aca="false">N275</f>
        <v>0</v>
      </c>
      <c r="AG275" s="102" t="n">
        <v>0</v>
      </c>
      <c r="AH275" s="102" t="n">
        <v>0</v>
      </c>
      <c r="AI275" s="102" t="n">
        <v>2</v>
      </c>
      <c r="AJ275" s="102" t="n">
        <v>0</v>
      </c>
      <c r="AK275" s="60" t="s">
        <v>475</v>
      </c>
      <c r="AL275" s="60" t="s">
        <v>136</v>
      </c>
      <c r="AM275" s="60" t="s">
        <v>137</v>
      </c>
      <c r="AN275" s="60" t="s">
        <v>476</v>
      </c>
    </row>
    <row r="276" customFormat="false" ht="15" hidden="false" customHeight="false" outlineLevel="0" collapsed="false">
      <c r="A276" s="1" t="n">
        <v>11</v>
      </c>
      <c r="B276" s="1" t="s">
        <v>563</v>
      </c>
      <c r="C276" s="1" t="s">
        <v>203</v>
      </c>
      <c r="D276" s="1" t="n">
        <v>6</v>
      </c>
      <c r="E276" s="78" t="str">
        <f aca="false">IF(D276&gt;8,"2 de 30h","1 de 44h")</f>
        <v>1 de 44h</v>
      </c>
      <c r="F276" s="95"/>
      <c r="G276" s="1" t="n">
        <v>1</v>
      </c>
      <c r="H276" s="96"/>
      <c r="I276" s="96"/>
      <c r="J276" s="96" t="n">
        <v>1</v>
      </c>
      <c r="K276" s="78" t="n">
        <v>0</v>
      </c>
      <c r="L276" s="96" t="n">
        <f aca="false">K276/4</f>
        <v>0</v>
      </c>
      <c r="M276" s="96" t="n">
        <f aca="false">I276+L276</f>
        <v>0</v>
      </c>
      <c r="N276" s="96" t="n">
        <f aca="false">J276</f>
        <v>1</v>
      </c>
      <c r="O276" s="1" t="s">
        <v>136</v>
      </c>
      <c r="P276" s="1" t="s">
        <v>136</v>
      </c>
      <c r="Q276" s="1" t="s">
        <v>136</v>
      </c>
      <c r="R276" s="1" t="s">
        <v>136</v>
      </c>
      <c r="S276" s="1" t="n">
        <v>4443</v>
      </c>
      <c r="T276" s="97"/>
      <c r="U276" s="97"/>
      <c r="V276" s="98" t="n">
        <v>14367</v>
      </c>
      <c r="W276" s="98"/>
      <c r="X276" s="98" t="s">
        <v>524</v>
      </c>
      <c r="Y276" s="99"/>
      <c r="Z276" s="100"/>
      <c r="AA276" s="100"/>
      <c r="AB276" s="100"/>
      <c r="AC276" s="100" t="n">
        <v>1</v>
      </c>
      <c r="AD276" s="96"/>
      <c r="AE276" s="96" t="n">
        <f aca="false">M276</f>
        <v>0</v>
      </c>
      <c r="AF276" s="96" t="n">
        <f aca="false">N276</f>
        <v>1</v>
      </c>
      <c r="AG276" s="31" t="n">
        <v>0</v>
      </c>
      <c r="AH276" s="31" t="n">
        <v>0</v>
      </c>
      <c r="AI276" s="31" t="n">
        <v>0</v>
      </c>
      <c r="AJ276" s="31" t="n">
        <v>1</v>
      </c>
      <c r="AK276" s="60" t="s">
        <v>475</v>
      </c>
      <c r="AL276" s="60" t="s">
        <v>136</v>
      </c>
      <c r="AM276" s="60" t="s">
        <v>137</v>
      </c>
      <c r="AN276" s="60" t="s">
        <v>476</v>
      </c>
    </row>
    <row r="277" customFormat="false" ht="15" hidden="false" customHeight="false" outlineLevel="0" collapsed="false">
      <c r="A277" s="1" t="n">
        <v>12</v>
      </c>
      <c r="B277" s="1" t="s">
        <v>564</v>
      </c>
      <c r="C277" s="1" t="s">
        <v>184</v>
      </c>
      <c r="D277" s="1" t="n">
        <v>10</v>
      </c>
      <c r="E277" s="78" t="str">
        <f aca="false">IF(D277&gt;8,"2 de 30h","1 de 44h")</f>
        <v>2 de 30h</v>
      </c>
      <c r="F277" s="95"/>
      <c r="G277" s="1" t="n">
        <v>1</v>
      </c>
      <c r="H277" s="60"/>
      <c r="I277" s="60" t="n">
        <v>2</v>
      </c>
      <c r="J277" s="60"/>
      <c r="K277" s="78" t="n">
        <v>2</v>
      </c>
      <c r="L277" s="60" t="n">
        <f aca="false">ROUNDUP(K277/4,0)</f>
        <v>1</v>
      </c>
      <c r="M277" s="60" t="n">
        <f aca="false">I277+L277</f>
        <v>3</v>
      </c>
      <c r="N277" s="60" t="n">
        <f aca="false">J277</f>
        <v>0</v>
      </c>
      <c r="O277" s="1" t="s">
        <v>137</v>
      </c>
      <c r="P277" s="1" t="s">
        <v>431</v>
      </c>
      <c r="Q277" s="1" t="s">
        <v>137</v>
      </c>
      <c r="R277" s="1" t="s">
        <v>137</v>
      </c>
      <c r="S277" s="1" t="n">
        <v>7448</v>
      </c>
      <c r="T277" s="97"/>
      <c r="U277" s="97"/>
      <c r="V277" s="98" t="n">
        <v>26613</v>
      </c>
      <c r="W277" s="98"/>
      <c r="X277" s="98" t="s">
        <v>565</v>
      </c>
      <c r="Y277" s="99"/>
      <c r="Z277" s="101"/>
      <c r="AA277" s="101"/>
      <c r="AB277" s="101" t="n">
        <v>2</v>
      </c>
      <c r="AC277" s="101" t="n">
        <v>1</v>
      </c>
      <c r="AD277" s="60"/>
      <c r="AE277" s="60" t="n">
        <f aca="false">M277</f>
        <v>3</v>
      </c>
      <c r="AF277" s="60" t="n">
        <f aca="false">N277</f>
        <v>0</v>
      </c>
      <c r="AG277" s="102" t="n">
        <v>0</v>
      </c>
      <c r="AH277" s="102" t="n">
        <v>0</v>
      </c>
      <c r="AI277" s="102" t="n">
        <v>3</v>
      </c>
      <c r="AJ277" s="102" t="n">
        <v>0</v>
      </c>
      <c r="AK277" s="60" t="s">
        <v>475</v>
      </c>
      <c r="AL277" s="60" t="s">
        <v>136</v>
      </c>
      <c r="AM277" s="60" t="s">
        <v>137</v>
      </c>
      <c r="AN277" s="60" t="s">
        <v>476</v>
      </c>
    </row>
    <row r="278" customFormat="false" ht="15" hidden="false" customHeight="false" outlineLevel="0" collapsed="false">
      <c r="A278" s="1" t="n">
        <v>13</v>
      </c>
      <c r="B278" s="1" t="s">
        <v>566</v>
      </c>
      <c r="C278" s="1" t="s">
        <v>197</v>
      </c>
      <c r="D278" s="1" t="n">
        <v>10</v>
      </c>
      <c r="E278" s="78" t="str">
        <f aca="false">IF(D278&gt;8,"2 de 30h","1 de 44h")</f>
        <v>2 de 30h</v>
      </c>
      <c r="F278" s="95"/>
      <c r="G278" s="1" t="n">
        <v>1</v>
      </c>
      <c r="H278" s="96"/>
      <c r="I278" s="96" t="n">
        <v>2</v>
      </c>
      <c r="J278" s="96"/>
      <c r="K278" s="78" t="n">
        <v>2</v>
      </c>
      <c r="L278" s="96" t="n">
        <f aca="false">ROUNDUP(K278/4,0)</f>
        <v>1</v>
      </c>
      <c r="M278" s="96" t="n">
        <f aca="false">I278+L278</f>
        <v>3</v>
      </c>
      <c r="N278" s="96" t="n">
        <f aca="false">J278</f>
        <v>0</v>
      </c>
      <c r="O278" s="1" t="s">
        <v>137</v>
      </c>
      <c r="P278" s="1" t="s">
        <v>314</v>
      </c>
      <c r="Q278" s="1" t="s">
        <v>137</v>
      </c>
      <c r="R278" s="1" t="s">
        <v>137</v>
      </c>
      <c r="S278" s="1" t="n">
        <v>8009</v>
      </c>
      <c r="T278" s="97"/>
      <c r="U278" s="97"/>
      <c r="V278" s="98" t="n">
        <v>22548</v>
      </c>
      <c r="W278" s="98"/>
      <c r="X278" s="98" t="s">
        <v>567</v>
      </c>
      <c r="Y278" s="99"/>
      <c r="Z278" s="100"/>
      <c r="AA278" s="100"/>
      <c r="AB278" s="100" t="n">
        <v>2</v>
      </c>
      <c r="AC278" s="100" t="n">
        <v>1</v>
      </c>
      <c r="AD278" s="96"/>
      <c r="AE278" s="96" t="n">
        <f aca="false">M278</f>
        <v>3</v>
      </c>
      <c r="AF278" s="96" t="n">
        <f aca="false">N278</f>
        <v>0</v>
      </c>
      <c r="AG278" s="31" t="n">
        <v>0</v>
      </c>
      <c r="AH278" s="31" t="n">
        <v>0</v>
      </c>
      <c r="AI278" s="31" t="n">
        <v>3</v>
      </c>
      <c r="AJ278" s="31" t="n">
        <v>0</v>
      </c>
      <c r="AK278" s="60" t="s">
        <v>475</v>
      </c>
      <c r="AL278" s="60" t="s">
        <v>136</v>
      </c>
      <c r="AM278" s="60" t="s">
        <v>137</v>
      </c>
      <c r="AN278" s="60" t="s">
        <v>476</v>
      </c>
    </row>
    <row r="279" customFormat="false" ht="15" hidden="false" customHeight="false" outlineLevel="0" collapsed="false">
      <c r="A279" s="1" t="n">
        <v>14</v>
      </c>
      <c r="B279" s="1" t="s">
        <v>568</v>
      </c>
      <c r="C279" s="1" t="s">
        <v>203</v>
      </c>
      <c r="D279" s="1" t="n">
        <v>6</v>
      </c>
      <c r="E279" s="78" t="str">
        <f aca="false">IF(D279&gt;8,"2 de 30h","1 de 44h")</f>
        <v>1 de 44h</v>
      </c>
      <c r="F279" s="95"/>
      <c r="G279" s="1" t="n">
        <v>1</v>
      </c>
      <c r="H279" s="60"/>
      <c r="I279" s="60"/>
      <c r="J279" s="60" t="n">
        <v>1</v>
      </c>
      <c r="K279" s="78" t="n">
        <v>2</v>
      </c>
      <c r="L279" s="60" t="n">
        <f aca="false">ROUNDUP(K279/4,0)</f>
        <v>1</v>
      </c>
      <c r="M279" s="60" t="n">
        <f aca="false">I279+L279</f>
        <v>1</v>
      </c>
      <c r="N279" s="60" t="n">
        <f aca="false">J279</f>
        <v>1</v>
      </c>
      <c r="O279" s="1" t="s">
        <v>137</v>
      </c>
      <c r="P279" s="1" t="s">
        <v>314</v>
      </c>
      <c r="Q279" s="1" t="s">
        <v>137</v>
      </c>
      <c r="R279" s="1" t="s">
        <v>137</v>
      </c>
      <c r="S279" s="1" t="n">
        <v>6460</v>
      </c>
      <c r="T279" s="97"/>
      <c r="U279" s="97"/>
      <c r="V279" s="98" t="n">
        <v>21674</v>
      </c>
      <c r="W279" s="98"/>
      <c r="X279" s="98" t="s">
        <v>213</v>
      </c>
      <c r="Y279" s="99"/>
      <c r="Z279" s="101"/>
      <c r="AA279" s="101"/>
      <c r="AB279" s="101" t="n">
        <v>2</v>
      </c>
      <c r="AC279" s="101" t="n">
        <v>1</v>
      </c>
      <c r="AD279" s="60"/>
      <c r="AE279" s="60" t="n">
        <f aca="false">M279</f>
        <v>1</v>
      </c>
      <c r="AF279" s="60" t="n">
        <f aca="false">N279</f>
        <v>1</v>
      </c>
      <c r="AG279" s="102" t="n">
        <v>0</v>
      </c>
      <c r="AH279" s="102" t="n">
        <v>0</v>
      </c>
      <c r="AI279" s="102" t="n">
        <v>1</v>
      </c>
      <c r="AJ279" s="102" t="n">
        <v>1</v>
      </c>
      <c r="AK279" s="60" t="s">
        <v>475</v>
      </c>
      <c r="AL279" s="60" t="s">
        <v>136</v>
      </c>
      <c r="AM279" s="60" t="s">
        <v>137</v>
      </c>
      <c r="AN279" s="60" t="s">
        <v>476</v>
      </c>
    </row>
    <row r="280" customFormat="false" ht="9" hidden="false" customHeight="true" outlineLevel="0" collapsed="false">
      <c r="A280" s="106"/>
      <c r="B280" s="106"/>
      <c r="C280" s="106"/>
      <c r="D280" s="106"/>
      <c r="E280" s="107"/>
      <c r="F280" s="111"/>
      <c r="G280" s="106"/>
      <c r="H280" s="108"/>
      <c r="I280" s="108"/>
      <c r="J280" s="108"/>
      <c r="K280" s="107"/>
      <c r="L280" s="108"/>
      <c r="M280" s="108"/>
      <c r="N280" s="108"/>
      <c r="O280" s="106"/>
      <c r="P280" s="106"/>
      <c r="Q280" s="106"/>
      <c r="R280" s="106"/>
      <c r="S280" s="106"/>
      <c r="T280" s="109"/>
      <c r="U280" s="109"/>
      <c r="V280" s="109"/>
      <c r="W280" s="109"/>
      <c r="X280" s="109"/>
      <c r="Y280" s="109"/>
      <c r="Z280" s="110"/>
      <c r="AA280" s="110"/>
      <c r="AB280" s="110"/>
      <c r="AC280" s="110"/>
      <c r="AD280" s="108"/>
      <c r="AE280" s="108"/>
      <c r="AF280" s="108"/>
      <c r="AG280" s="108"/>
      <c r="AH280" s="108"/>
      <c r="AI280" s="108"/>
      <c r="AJ280" s="108"/>
      <c r="AK280" s="108"/>
      <c r="AL280" s="108"/>
      <c r="AM280" s="108"/>
      <c r="AN280" s="108"/>
    </row>
    <row r="281" customFormat="false" ht="15" hidden="false" customHeight="false" outlineLevel="0" collapsed="false">
      <c r="A281" s="1" t="n">
        <v>1</v>
      </c>
      <c r="B281" s="1" t="s">
        <v>569</v>
      </c>
      <c r="C281" s="1" t="s">
        <v>128</v>
      </c>
      <c r="F281" s="95"/>
      <c r="H281" s="60" t="n">
        <v>1</v>
      </c>
      <c r="I281" s="60"/>
      <c r="J281" s="60"/>
      <c r="L281" s="60" t="n">
        <f aca="false">K281/4</f>
        <v>0</v>
      </c>
      <c r="M281" s="60" t="n">
        <f aca="false">I281+L281</f>
        <v>0</v>
      </c>
      <c r="N281" s="60" t="n">
        <f aca="false">J281</f>
        <v>0</v>
      </c>
      <c r="S281" s="1" t="n">
        <v>153268</v>
      </c>
      <c r="T281" s="97"/>
      <c r="U281" s="97"/>
      <c r="V281" s="98" t="n">
        <v>515288</v>
      </c>
      <c r="W281" s="98" t="s">
        <v>570</v>
      </c>
      <c r="X281" s="98" t="s">
        <v>490</v>
      </c>
      <c r="Y281" s="99" t="s">
        <v>132</v>
      </c>
      <c r="Z281" s="101"/>
      <c r="AA281" s="101"/>
      <c r="AB281" s="101"/>
      <c r="AC281" s="101" t="n">
        <v>1</v>
      </c>
      <c r="AD281" s="60" t="n">
        <f aca="false">H281</f>
        <v>1</v>
      </c>
      <c r="AE281" s="60" t="n">
        <f aca="false">M281</f>
        <v>0</v>
      </c>
      <c r="AF281" s="60" t="n">
        <f aca="false">N281</f>
        <v>0</v>
      </c>
      <c r="AG281" s="102" t="n">
        <v>0</v>
      </c>
      <c r="AH281" s="102" t="n">
        <v>1</v>
      </c>
      <c r="AI281" s="102" t="n">
        <v>0</v>
      </c>
      <c r="AJ281" s="102" t="n">
        <v>1</v>
      </c>
      <c r="AK281" s="60" t="s">
        <v>475</v>
      </c>
      <c r="AL281" s="60" t="s">
        <v>136</v>
      </c>
      <c r="AM281" s="60" t="s">
        <v>137</v>
      </c>
      <c r="AN281" s="60" t="s">
        <v>476</v>
      </c>
    </row>
    <row r="282" customFormat="false" ht="15" hidden="false" customHeight="false" outlineLevel="0" collapsed="false">
      <c r="A282" s="1" t="n">
        <v>2</v>
      </c>
      <c r="B282" s="1" t="s">
        <v>571</v>
      </c>
      <c r="C282" s="1" t="s">
        <v>382</v>
      </c>
      <c r="D282" s="1" t="n">
        <v>10</v>
      </c>
      <c r="E282" s="78" t="str">
        <f aca="false">IF(D282&gt;8,"2 de 30h","1 de 44h")</f>
        <v>2 de 30h</v>
      </c>
      <c r="F282" s="95"/>
      <c r="G282" s="1" t="n">
        <v>1</v>
      </c>
      <c r="H282" s="96"/>
      <c r="I282" s="96" t="n">
        <v>2</v>
      </c>
      <c r="J282" s="96"/>
      <c r="K282" s="78" t="n">
        <v>0</v>
      </c>
      <c r="L282" s="96" t="n">
        <f aca="false">K282/4</f>
        <v>0</v>
      </c>
      <c r="M282" s="96" t="n">
        <f aca="false">I282+L282</f>
        <v>2</v>
      </c>
      <c r="N282" s="96" t="n">
        <f aca="false">J282</f>
        <v>0</v>
      </c>
      <c r="O282" s="1" t="s">
        <v>137</v>
      </c>
      <c r="Q282" s="1" t="s">
        <v>136</v>
      </c>
      <c r="S282" s="1" t="n">
        <v>10524</v>
      </c>
      <c r="T282" s="97"/>
      <c r="U282" s="97"/>
      <c r="V282" s="98" t="n">
        <v>52765</v>
      </c>
      <c r="W282" s="98"/>
      <c r="X282" s="98" t="s">
        <v>264</v>
      </c>
      <c r="Y282" s="99"/>
      <c r="Z282" s="100"/>
      <c r="AA282" s="100"/>
      <c r="AB282" s="100" t="n">
        <v>3</v>
      </c>
      <c r="AC282" s="100"/>
      <c r="AD282" s="96"/>
      <c r="AE282" s="96" t="n">
        <f aca="false">M282</f>
        <v>2</v>
      </c>
      <c r="AF282" s="96" t="n">
        <f aca="false">N282</f>
        <v>0</v>
      </c>
      <c r="AG282" s="31" t="n">
        <v>0</v>
      </c>
      <c r="AH282" s="31" t="n">
        <v>0</v>
      </c>
      <c r="AI282" s="31" t="n">
        <v>2</v>
      </c>
      <c r="AJ282" s="31" t="n">
        <v>0</v>
      </c>
      <c r="AK282" s="60" t="s">
        <v>475</v>
      </c>
      <c r="AL282" s="60" t="s">
        <v>136</v>
      </c>
      <c r="AM282" s="60" t="s">
        <v>137</v>
      </c>
      <c r="AN282" s="60" t="s">
        <v>476</v>
      </c>
    </row>
    <row r="283" customFormat="false" ht="15" hidden="false" customHeight="false" outlineLevel="0" collapsed="false">
      <c r="A283" s="1" t="n">
        <v>3</v>
      </c>
      <c r="B283" s="1" t="s">
        <v>572</v>
      </c>
      <c r="C283" s="1" t="s">
        <v>378</v>
      </c>
      <c r="D283" s="1" t="n">
        <v>10</v>
      </c>
      <c r="E283" s="78" t="str">
        <f aca="false">IF(D283&gt;8,"2 de 30h","1 de 44h")</f>
        <v>2 de 30h</v>
      </c>
      <c r="F283" s="1" t="s">
        <v>573</v>
      </c>
      <c r="G283" s="1" t="n">
        <v>1</v>
      </c>
      <c r="H283" s="60"/>
      <c r="I283" s="60" t="n">
        <v>2</v>
      </c>
      <c r="J283" s="60"/>
      <c r="K283" s="78" t="n">
        <v>5</v>
      </c>
      <c r="L283" s="60" t="n">
        <f aca="false">ROUNDUP(K283/4,0)</f>
        <v>2</v>
      </c>
      <c r="M283" s="60" t="n">
        <f aca="false">I283+L283</f>
        <v>4</v>
      </c>
      <c r="N283" s="60" t="n">
        <f aca="false">J283</f>
        <v>0</v>
      </c>
      <c r="O283" s="1" t="s">
        <v>137</v>
      </c>
      <c r="P283" s="1" t="s">
        <v>431</v>
      </c>
      <c r="Q283" s="1" t="s">
        <v>136</v>
      </c>
      <c r="S283" s="1" t="n">
        <v>39875</v>
      </c>
      <c r="T283" s="97"/>
      <c r="U283" s="97"/>
      <c r="V283" s="98" t="n">
        <v>143123</v>
      </c>
      <c r="W283" s="98" t="s">
        <v>574</v>
      </c>
      <c r="X283" s="98" t="s">
        <v>575</v>
      </c>
      <c r="Y283" s="99"/>
      <c r="Z283" s="101"/>
      <c r="AA283" s="101"/>
      <c r="AB283" s="101" t="n">
        <v>4</v>
      </c>
      <c r="AC283" s="101"/>
      <c r="AD283" s="60"/>
      <c r="AE283" s="60" t="n">
        <f aca="false">M283</f>
        <v>4</v>
      </c>
      <c r="AF283" s="60" t="n">
        <f aca="false">N283</f>
        <v>0</v>
      </c>
      <c r="AG283" s="102" t="n">
        <v>0</v>
      </c>
      <c r="AH283" s="102" t="n">
        <v>0</v>
      </c>
      <c r="AI283" s="102" t="n">
        <v>4</v>
      </c>
      <c r="AJ283" s="102" t="n">
        <v>0</v>
      </c>
      <c r="AK283" s="60" t="s">
        <v>475</v>
      </c>
      <c r="AL283" s="60" t="s">
        <v>136</v>
      </c>
      <c r="AM283" s="60" t="s">
        <v>137</v>
      </c>
      <c r="AN283" s="60" t="s">
        <v>476</v>
      </c>
    </row>
    <row r="284" customFormat="false" ht="15" hidden="false" customHeight="false" outlineLevel="0" collapsed="false">
      <c r="A284" s="1" t="n">
        <v>4</v>
      </c>
      <c r="B284" s="1" t="s">
        <v>576</v>
      </c>
      <c r="C284" s="1" t="s">
        <v>378</v>
      </c>
      <c r="D284" s="1" t="n">
        <v>10</v>
      </c>
      <c r="E284" s="78" t="str">
        <f aca="false">IF(D284&gt;8,"2 de 30h","1 de 44h")</f>
        <v>2 de 30h</v>
      </c>
      <c r="F284" s="1" t="s">
        <v>378</v>
      </c>
      <c r="G284" s="1" t="n">
        <v>1</v>
      </c>
      <c r="H284" s="96"/>
      <c r="I284" s="96" t="n">
        <v>2</v>
      </c>
      <c r="J284" s="96"/>
      <c r="K284" s="78" t="n">
        <v>7</v>
      </c>
      <c r="L284" s="96" t="n">
        <f aca="false">ROUNDUP(K284/4,0)</f>
        <v>2</v>
      </c>
      <c r="M284" s="96" t="n">
        <f aca="false">I284+L284</f>
        <v>4</v>
      </c>
      <c r="N284" s="96" t="n">
        <f aca="false">J284</f>
        <v>0</v>
      </c>
      <c r="O284" s="1" t="s">
        <v>137</v>
      </c>
      <c r="P284" s="1" t="s">
        <v>314</v>
      </c>
      <c r="Q284" s="1" t="s">
        <v>136</v>
      </c>
      <c r="S284" s="1" t="n">
        <v>52386</v>
      </c>
      <c r="T284" s="97" t="s">
        <v>132</v>
      </c>
      <c r="U284" s="97"/>
      <c r="V284" s="98"/>
      <c r="W284" s="98"/>
      <c r="X284" s="98"/>
      <c r="Y284" s="99" t="s">
        <v>132</v>
      </c>
      <c r="Z284" s="100"/>
      <c r="AA284" s="100" t="n">
        <v>1</v>
      </c>
      <c r="AB284" s="100" t="n">
        <v>6</v>
      </c>
      <c r="AC284" s="100" t="n">
        <v>1</v>
      </c>
      <c r="AD284" s="96"/>
      <c r="AE284" s="96" t="n">
        <f aca="false">M284</f>
        <v>4</v>
      </c>
      <c r="AF284" s="96" t="n">
        <f aca="false">N284</f>
        <v>0</v>
      </c>
      <c r="AG284" s="31" t="n">
        <v>0</v>
      </c>
      <c r="AH284" s="31" t="n">
        <v>0</v>
      </c>
      <c r="AI284" s="31" t="n">
        <v>5</v>
      </c>
      <c r="AJ284" s="31" t="n">
        <v>0</v>
      </c>
      <c r="AK284" s="60" t="s">
        <v>475</v>
      </c>
      <c r="AL284" s="60" t="s">
        <v>136</v>
      </c>
      <c r="AM284" s="60" t="s">
        <v>137</v>
      </c>
      <c r="AN284" s="60" t="s">
        <v>476</v>
      </c>
    </row>
    <row r="285" customFormat="false" ht="15" hidden="false" customHeight="false" outlineLevel="0" collapsed="false">
      <c r="A285" s="1" t="n">
        <v>5</v>
      </c>
      <c r="B285" s="1" t="s">
        <v>577</v>
      </c>
      <c r="C285" s="1" t="s">
        <v>378</v>
      </c>
      <c r="D285" s="1" t="n">
        <v>10</v>
      </c>
      <c r="E285" s="78" t="str">
        <f aca="false">IF(D285&gt;8,"2 de 30h","1 de 44h")</f>
        <v>2 de 30h</v>
      </c>
      <c r="F285" s="95" t="s">
        <v>578</v>
      </c>
      <c r="G285" s="1" t="n">
        <v>1</v>
      </c>
      <c r="H285" s="60"/>
      <c r="I285" s="60" t="n">
        <v>2</v>
      </c>
      <c r="J285" s="60"/>
      <c r="K285" s="78" t="n">
        <v>2</v>
      </c>
      <c r="L285" s="60" t="n">
        <f aca="false">ROUNDUP(K285/4,0)</f>
        <v>1</v>
      </c>
      <c r="M285" s="60" t="n">
        <f aca="false">I285+L285</f>
        <v>3</v>
      </c>
      <c r="N285" s="60" t="n">
        <f aca="false">J285</f>
        <v>0</v>
      </c>
      <c r="O285" s="1" t="s">
        <v>136</v>
      </c>
      <c r="S285" s="1" t="n">
        <v>10291</v>
      </c>
      <c r="T285" s="97"/>
      <c r="U285" s="97"/>
      <c r="V285" s="98" t="n">
        <v>52912</v>
      </c>
      <c r="W285" s="98"/>
      <c r="X285" s="98" t="s">
        <v>364</v>
      </c>
      <c r="Y285" s="99"/>
      <c r="Z285" s="101"/>
      <c r="AA285" s="101"/>
      <c r="AB285" s="101" t="n">
        <v>4</v>
      </c>
      <c r="AC285" s="101"/>
      <c r="AD285" s="60"/>
      <c r="AE285" s="60" t="n">
        <f aca="false">M285</f>
        <v>3</v>
      </c>
      <c r="AF285" s="60" t="n">
        <f aca="false">N285</f>
        <v>0</v>
      </c>
      <c r="AG285" s="102" t="n">
        <v>0</v>
      </c>
      <c r="AH285" s="102" t="n">
        <v>0</v>
      </c>
      <c r="AI285" s="102" t="n">
        <v>3</v>
      </c>
      <c r="AJ285" s="102" t="n">
        <v>0</v>
      </c>
      <c r="AK285" s="60" t="s">
        <v>475</v>
      </c>
      <c r="AL285" s="60" t="s">
        <v>136</v>
      </c>
      <c r="AM285" s="60" t="s">
        <v>137</v>
      </c>
      <c r="AN285" s="60" t="s">
        <v>476</v>
      </c>
    </row>
    <row r="286" customFormat="false" ht="15" hidden="false" customHeight="false" outlineLevel="0" collapsed="false">
      <c r="A286" s="1" t="n">
        <v>6</v>
      </c>
      <c r="B286" s="1" t="s">
        <v>579</v>
      </c>
      <c r="C286" s="1" t="s">
        <v>378</v>
      </c>
      <c r="D286" s="1" t="n">
        <v>10</v>
      </c>
      <c r="E286" s="78" t="str">
        <f aca="false">IF(D286&gt;8,"2 de 30h","1 de 44h")</f>
        <v>2 de 30h</v>
      </c>
      <c r="F286" s="95" t="s">
        <v>578</v>
      </c>
      <c r="G286" s="1" t="n">
        <v>1</v>
      </c>
      <c r="H286" s="96"/>
      <c r="I286" s="96" t="n">
        <v>2</v>
      </c>
      <c r="J286" s="96"/>
      <c r="K286" s="78" t="n">
        <v>4</v>
      </c>
      <c r="L286" s="96" t="n">
        <f aca="false">K286/4</f>
        <v>1</v>
      </c>
      <c r="M286" s="96" t="n">
        <f aca="false">I286+L286</f>
        <v>3</v>
      </c>
      <c r="N286" s="96" t="n">
        <f aca="false">J286</f>
        <v>0</v>
      </c>
      <c r="O286" s="1" t="s">
        <v>136</v>
      </c>
      <c r="S286" s="1" t="n">
        <v>18272</v>
      </c>
      <c r="T286" s="97"/>
      <c r="U286" s="97"/>
      <c r="V286" s="98" t="n">
        <v>74801</v>
      </c>
      <c r="W286" s="98"/>
      <c r="X286" s="98" t="s">
        <v>182</v>
      </c>
      <c r="Y286" s="99"/>
      <c r="Z286" s="100"/>
      <c r="AA286" s="100"/>
      <c r="AB286" s="100" t="n">
        <v>3</v>
      </c>
      <c r="AC286" s="100"/>
      <c r="AD286" s="96"/>
      <c r="AE286" s="96" t="n">
        <f aca="false">M286</f>
        <v>3</v>
      </c>
      <c r="AF286" s="96" t="n">
        <f aca="false">N286</f>
        <v>0</v>
      </c>
      <c r="AG286" s="31" t="n">
        <v>0</v>
      </c>
      <c r="AH286" s="31" t="n">
        <v>0</v>
      </c>
      <c r="AI286" s="31" t="n">
        <v>3</v>
      </c>
      <c r="AJ286" s="31" t="n">
        <v>0</v>
      </c>
      <c r="AK286" s="60" t="s">
        <v>475</v>
      </c>
      <c r="AL286" s="60" t="s">
        <v>136</v>
      </c>
      <c r="AM286" s="60" t="s">
        <v>137</v>
      </c>
      <c r="AN286" s="60" t="s">
        <v>476</v>
      </c>
    </row>
    <row r="287" customFormat="false" ht="15" hidden="false" customHeight="false" outlineLevel="0" collapsed="false">
      <c r="A287" s="1" t="n">
        <v>7</v>
      </c>
      <c r="B287" s="1" t="s">
        <v>580</v>
      </c>
      <c r="C287" s="1" t="s">
        <v>392</v>
      </c>
      <c r="D287" s="1" t="n">
        <v>6</v>
      </c>
      <c r="E287" s="78" t="s">
        <v>581</v>
      </c>
      <c r="F287" s="95" t="n">
        <v>0</v>
      </c>
      <c r="G287" s="1" t="n">
        <v>1</v>
      </c>
      <c r="H287" s="60"/>
      <c r="I287" s="60"/>
      <c r="J287" s="60"/>
      <c r="K287" s="78" t="n">
        <v>0</v>
      </c>
      <c r="L287" s="60" t="n">
        <f aca="false">K287/4</f>
        <v>0</v>
      </c>
      <c r="M287" s="60" t="n">
        <f aca="false">I287+L287</f>
        <v>0</v>
      </c>
      <c r="N287" s="60" t="n">
        <f aca="false">J287</f>
        <v>0</v>
      </c>
      <c r="O287" s="1" t="s">
        <v>137</v>
      </c>
      <c r="P287" s="1" t="s">
        <v>431</v>
      </c>
      <c r="Q287" s="1" t="s">
        <v>136</v>
      </c>
      <c r="S287" s="1" t="n">
        <v>5759</v>
      </c>
      <c r="T287" s="97"/>
      <c r="U287" s="97"/>
      <c r="V287" s="98" t="n">
        <v>42520</v>
      </c>
      <c r="W287" s="98"/>
      <c r="X287" s="98" t="s">
        <v>351</v>
      </c>
      <c r="Y287" s="99"/>
      <c r="Z287" s="101"/>
      <c r="AA287" s="101"/>
      <c r="AB287" s="101" t="n">
        <v>2</v>
      </c>
      <c r="AC287" s="101"/>
      <c r="AD287" s="60"/>
      <c r="AE287" s="60" t="n">
        <f aca="false">M287</f>
        <v>0</v>
      </c>
      <c r="AF287" s="60" t="n">
        <f aca="false">N287</f>
        <v>0</v>
      </c>
      <c r="AG287" s="102" t="n">
        <v>0</v>
      </c>
      <c r="AH287" s="102" t="n">
        <v>0</v>
      </c>
      <c r="AI287" s="102" t="n">
        <v>0</v>
      </c>
      <c r="AJ287" s="102" t="n">
        <v>0</v>
      </c>
      <c r="AK287" s="60" t="s">
        <v>475</v>
      </c>
      <c r="AL287" s="60" t="s">
        <v>136</v>
      </c>
      <c r="AM287" s="60" t="s">
        <v>137</v>
      </c>
      <c r="AN287" s="60" t="s">
        <v>476</v>
      </c>
    </row>
    <row r="288" customFormat="false" ht="15" hidden="false" customHeight="false" outlineLevel="0" collapsed="false">
      <c r="A288" s="1" t="n">
        <v>8</v>
      </c>
      <c r="B288" s="1" t="s">
        <v>582</v>
      </c>
      <c r="F288" s="95"/>
      <c r="H288" s="96"/>
      <c r="I288" s="96"/>
      <c r="J288" s="96"/>
      <c r="L288" s="96" t="n">
        <f aca="false">K288/4</f>
        <v>0</v>
      </c>
      <c r="M288" s="96" t="n">
        <f aca="false">I288+L288</f>
        <v>0</v>
      </c>
      <c r="N288" s="96" t="n">
        <f aca="false">J288</f>
        <v>0</v>
      </c>
      <c r="T288" s="97"/>
      <c r="U288" s="97"/>
      <c r="V288" s="98"/>
      <c r="W288" s="98"/>
      <c r="X288" s="98"/>
      <c r="Y288" s="99"/>
      <c r="Z288" s="100"/>
      <c r="AA288" s="100"/>
      <c r="AB288" s="100"/>
      <c r="AC288" s="100" t="n">
        <v>1</v>
      </c>
      <c r="AD288" s="96"/>
      <c r="AE288" s="96" t="n">
        <f aca="false">M288</f>
        <v>0</v>
      </c>
      <c r="AF288" s="96" t="n">
        <f aca="false">N288</f>
        <v>0</v>
      </c>
      <c r="AG288" s="31" t="n">
        <v>0</v>
      </c>
      <c r="AH288" s="31" t="n">
        <v>0</v>
      </c>
      <c r="AI288" s="31" t="n">
        <v>0</v>
      </c>
      <c r="AJ288" s="31" t="n">
        <v>0</v>
      </c>
      <c r="AK288" s="60" t="s">
        <v>475</v>
      </c>
      <c r="AL288" s="60" t="s">
        <v>136</v>
      </c>
      <c r="AM288" s="60" t="s">
        <v>137</v>
      </c>
      <c r="AN288" s="60" t="s">
        <v>476</v>
      </c>
    </row>
    <row r="289" customFormat="false" ht="15" hidden="false" customHeight="false" outlineLevel="0" collapsed="false">
      <c r="A289" s="1" t="n">
        <v>9</v>
      </c>
      <c r="B289" s="1" t="s">
        <v>583</v>
      </c>
      <c r="C289" s="1" t="s">
        <v>378</v>
      </c>
      <c r="D289" s="1" t="n">
        <v>10</v>
      </c>
      <c r="E289" s="78" t="s">
        <v>584</v>
      </c>
      <c r="F289" s="95" t="n">
        <v>0</v>
      </c>
      <c r="G289" s="1" t="n">
        <v>1</v>
      </c>
      <c r="H289" s="60"/>
      <c r="I289" s="60"/>
      <c r="J289" s="60"/>
      <c r="K289" s="78" t="n">
        <v>0</v>
      </c>
      <c r="L289" s="60" t="n">
        <f aca="false">K289/4</f>
        <v>0</v>
      </c>
      <c r="M289" s="60" t="n">
        <f aca="false">I289+L289</f>
        <v>0</v>
      </c>
      <c r="N289" s="60" t="n">
        <f aca="false">J289</f>
        <v>0</v>
      </c>
      <c r="O289" s="1" t="s">
        <v>136</v>
      </c>
      <c r="S289" s="1" t="n">
        <v>10612</v>
      </c>
      <c r="T289" s="97"/>
      <c r="U289" s="97"/>
      <c r="V289" s="98"/>
      <c r="W289" s="98"/>
      <c r="X289" s="98"/>
      <c r="Y289" s="99"/>
      <c r="Z289" s="113"/>
      <c r="AA289" s="113"/>
      <c r="AB289" s="113" t="n">
        <v>2</v>
      </c>
      <c r="AC289" s="113"/>
      <c r="AD289" s="60"/>
      <c r="AE289" s="60" t="n">
        <f aca="false">M289</f>
        <v>0</v>
      </c>
      <c r="AF289" s="60" t="n">
        <f aca="false">N289</f>
        <v>0</v>
      </c>
      <c r="AG289" s="102" t="n">
        <v>0</v>
      </c>
      <c r="AH289" s="102" t="n">
        <v>0</v>
      </c>
      <c r="AI289" s="102" t="n">
        <v>0</v>
      </c>
      <c r="AJ289" s="102" t="n">
        <v>1</v>
      </c>
      <c r="AK289" s="60" t="s">
        <v>475</v>
      </c>
      <c r="AL289" s="60" t="s">
        <v>136</v>
      </c>
      <c r="AM289" s="60" t="s">
        <v>137</v>
      </c>
      <c r="AN289" s="60" t="s">
        <v>476</v>
      </c>
    </row>
    <row r="290" customFormat="false" ht="15" hidden="false" customHeight="false" outlineLevel="0" collapsed="false">
      <c r="A290" s="1" t="n">
        <v>10</v>
      </c>
      <c r="B290" s="1" t="s">
        <v>585</v>
      </c>
      <c r="C290" s="1" t="s">
        <v>392</v>
      </c>
      <c r="D290" s="1" t="n">
        <v>6</v>
      </c>
      <c r="E290" s="78" t="str">
        <f aca="false">IF(D290&gt;8,"2 de 30h","1 de 44h")</f>
        <v>1 de 44h</v>
      </c>
      <c r="F290" s="95" t="n">
        <v>0</v>
      </c>
      <c r="G290" s="1" t="n">
        <v>1</v>
      </c>
      <c r="H290" s="96"/>
      <c r="I290" s="96"/>
      <c r="J290" s="96" t="n">
        <v>1</v>
      </c>
      <c r="K290" s="78" t="n">
        <v>3</v>
      </c>
      <c r="L290" s="96" t="n">
        <f aca="false">ROUNDUP(K290/4,0)</f>
        <v>1</v>
      </c>
      <c r="M290" s="96" t="n">
        <f aca="false">I290+L290</f>
        <v>1</v>
      </c>
      <c r="N290" s="96" t="n">
        <f aca="false">J290</f>
        <v>1</v>
      </c>
      <c r="O290" s="1" t="s">
        <v>137</v>
      </c>
      <c r="P290" s="1" t="s">
        <v>136</v>
      </c>
      <c r="S290" s="1" t="n">
        <v>3087</v>
      </c>
      <c r="T290" s="97"/>
      <c r="U290" s="97"/>
      <c r="V290" s="98" t="n">
        <v>35172</v>
      </c>
      <c r="W290" s="98"/>
      <c r="X290" s="98" t="s">
        <v>168</v>
      </c>
      <c r="Y290" s="99"/>
      <c r="Z290" s="100"/>
      <c r="AA290" s="100"/>
      <c r="AB290" s="100" t="n">
        <v>2</v>
      </c>
      <c r="AC290" s="100"/>
      <c r="AD290" s="96"/>
      <c r="AE290" s="96" t="n">
        <f aca="false">M290</f>
        <v>1</v>
      </c>
      <c r="AF290" s="96" t="n">
        <f aca="false">N290</f>
        <v>1</v>
      </c>
      <c r="AG290" s="31" t="n">
        <v>0</v>
      </c>
      <c r="AH290" s="31" t="n">
        <v>0</v>
      </c>
      <c r="AI290" s="31" t="n">
        <v>0</v>
      </c>
      <c r="AJ290" s="31" t="n">
        <v>1</v>
      </c>
      <c r="AK290" s="60" t="s">
        <v>475</v>
      </c>
      <c r="AL290" s="60" t="s">
        <v>136</v>
      </c>
      <c r="AM290" s="60" t="s">
        <v>137</v>
      </c>
      <c r="AN290" s="60" t="s">
        <v>476</v>
      </c>
    </row>
    <row r="291" customFormat="false" ht="15" hidden="false" customHeight="false" outlineLevel="0" collapsed="false">
      <c r="A291" s="1" t="n">
        <v>11</v>
      </c>
      <c r="B291" s="1" t="s">
        <v>586</v>
      </c>
      <c r="C291" s="1" t="s">
        <v>392</v>
      </c>
      <c r="D291" s="1" t="n">
        <v>6</v>
      </c>
      <c r="E291" s="78" t="str">
        <f aca="false">IF(D291&gt;8,"2 de 30h","1 de 44h")</f>
        <v>1 de 44h</v>
      </c>
      <c r="F291" s="95" t="n">
        <v>0</v>
      </c>
      <c r="G291" s="1" t="n">
        <v>1</v>
      </c>
      <c r="H291" s="60"/>
      <c r="I291" s="60"/>
      <c r="J291" s="60" t="n">
        <v>1</v>
      </c>
      <c r="K291" s="78" t="n">
        <v>3</v>
      </c>
      <c r="L291" s="60" t="n">
        <f aca="false">ROUNDUP(K291/4,0)</f>
        <v>1</v>
      </c>
      <c r="M291" s="60" t="n">
        <f aca="false">I291+L291</f>
        <v>1</v>
      </c>
      <c r="N291" s="60" t="n">
        <f aca="false">J291</f>
        <v>1</v>
      </c>
      <c r="O291" s="1" t="s">
        <v>137</v>
      </c>
      <c r="P291" s="1" t="s">
        <v>136</v>
      </c>
      <c r="S291" s="1" t="n">
        <v>2462</v>
      </c>
      <c r="T291" s="97"/>
      <c r="U291" s="97"/>
      <c r="V291" s="98" t="n">
        <v>31274</v>
      </c>
      <c r="W291" s="98"/>
      <c r="X291" s="98" t="s">
        <v>383</v>
      </c>
      <c r="Y291" s="99"/>
      <c r="Z291" s="78"/>
      <c r="AA291" s="78"/>
      <c r="AB291" s="114" t="n">
        <v>2</v>
      </c>
      <c r="AC291" s="78"/>
      <c r="AD291" s="60"/>
      <c r="AE291" s="60" t="n">
        <f aca="false">M291</f>
        <v>1</v>
      </c>
      <c r="AF291" s="60" t="n">
        <f aca="false">N291</f>
        <v>1</v>
      </c>
      <c r="AG291" s="102" t="n">
        <v>0</v>
      </c>
      <c r="AH291" s="102" t="n">
        <v>0</v>
      </c>
      <c r="AI291" s="102" t="n">
        <v>0</v>
      </c>
      <c r="AJ291" s="102" t="n">
        <v>1</v>
      </c>
      <c r="AK291" s="60" t="s">
        <v>135</v>
      </c>
      <c r="AL291" s="60" t="s">
        <v>136</v>
      </c>
      <c r="AM291" s="60" t="s">
        <v>137</v>
      </c>
      <c r="AN291" s="60" t="s">
        <v>138</v>
      </c>
    </row>
    <row r="292" customFormat="false" ht="15" hidden="false" customHeight="false" outlineLevel="0" collapsed="false">
      <c r="F292" s="95"/>
      <c r="I292" s="60"/>
      <c r="J292" s="60"/>
      <c r="M292" s="60"/>
      <c r="N292" s="60"/>
      <c r="Z292" s="60" t="n">
        <f aca="false">SUM(Z2:Z291)</f>
        <v>31</v>
      </c>
      <c r="AA292" s="60" t="n">
        <f aca="false">SUM(AA2:AA291)</f>
        <v>29</v>
      </c>
      <c r="AB292" s="60" t="n">
        <f aca="false">SUM(AB2:AB291)</f>
        <v>526</v>
      </c>
      <c r="AC292" s="60" t="n">
        <f aca="false">SUM(AC2:AC291)</f>
        <v>176</v>
      </c>
      <c r="AD292" s="60" t="n">
        <f aca="false">SUM(AD2:AD291)</f>
        <v>14</v>
      </c>
      <c r="AE292" s="60" t="n">
        <f aca="false">SUM(AE2:AE291)</f>
        <v>535</v>
      </c>
      <c r="AF292" s="60" t="n">
        <f aca="false">SUM(AF2:AF291)</f>
        <v>112</v>
      </c>
      <c r="AG292" s="60" t="n">
        <f aca="false">SUM(AG2:AG291)</f>
        <v>20</v>
      </c>
      <c r="AH292" s="60" t="n">
        <f aca="false">SUM(AH2:AH291)</f>
        <v>30</v>
      </c>
      <c r="AI292" s="60" t="n">
        <f aca="false">SUM(AI2:AI291)</f>
        <v>574</v>
      </c>
      <c r="AJ292" s="60" t="n">
        <f aca="false">SUM(AJ2:AJ291)</f>
        <v>117</v>
      </c>
      <c r="AK292" s="60"/>
      <c r="AL292" s="60"/>
      <c r="AM292" s="60"/>
      <c r="AN292" s="60"/>
    </row>
  </sheetData>
  <mergeCells count="9">
    <mergeCell ref="A1:AN1"/>
    <mergeCell ref="A2:B2"/>
    <mergeCell ref="C2:S2"/>
    <mergeCell ref="T2:U2"/>
    <mergeCell ref="V2:X2"/>
    <mergeCell ref="Z2:AC2"/>
    <mergeCell ref="AD2:AF2"/>
    <mergeCell ref="AG2:AJ2"/>
    <mergeCell ref="AK2:AN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32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colBreaks count="1" manualBreakCount="1">
    <brk id="11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false"/>
  </sheetPr>
  <dimension ref="A1:AMF150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87" zoomScalePageLayoutView="100" workbookViewId="0">
      <pane xSplit="0" ySplit="11" topLeftCell="A24" activePane="bottomLeft" state="frozen"/>
      <selection pane="topLeft" activeCell="A1" activeCellId="0" sqref="A1"/>
      <selection pane="bottomLeft" activeCell="F21" activeCellId="0" sqref="F21"/>
    </sheetView>
  </sheetViews>
  <sheetFormatPr defaultColWidth="10.30078125" defaultRowHeight="15" zeroHeight="false" outlineLevelRow="0" outlineLevelCol="0"/>
  <cols>
    <col collapsed="false" customWidth="true" hidden="false" outlineLevel="0" max="1" min="1" style="115" width="63.71"/>
    <col collapsed="false" customWidth="true" hidden="false" outlineLevel="0" max="2" min="2" style="115" width="11.42"/>
    <col collapsed="false" customWidth="true" hidden="false" outlineLevel="0" max="3" min="3" style="115" width="17"/>
    <col collapsed="false" customWidth="true" hidden="false" outlineLevel="0" max="4" min="4" style="115" width="16.71"/>
    <col collapsed="false" customWidth="true" hidden="false" outlineLevel="0" max="5" min="5" style="115" width="18.29"/>
    <col collapsed="false" customWidth="true" hidden="false" outlineLevel="0" max="6" min="6" style="115" width="17.29"/>
    <col collapsed="false" customWidth="true" hidden="false" outlineLevel="0" max="7" min="7" style="115" width="14.15"/>
    <col collapsed="false" customWidth="true" hidden="false" outlineLevel="0" max="8" min="8" style="115" width="23.71"/>
    <col collapsed="false" customWidth="false" hidden="false" outlineLevel="0" max="1020" min="9" style="115" width="10.29"/>
    <col collapsed="false" customWidth="true" hidden="false" outlineLevel="0" max="1024" min="1021" style="116" width="9.58"/>
  </cols>
  <sheetData>
    <row r="1" customFormat="false" ht="15.75" hidden="false" customHeight="false" outlineLevel="0" collapsed="false">
      <c r="A1" s="117" t="s">
        <v>587</v>
      </c>
      <c r="B1" s="117"/>
      <c r="C1" s="117"/>
      <c r="D1" s="117"/>
      <c r="E1" s="117"/>
      <c r="F1" s="117"/>
      <c r="AMF1" s="116"/>
    </row>
    <row r="2" customFormat="false" ht="15.75" hidden="false" customHeight="false" outlineLevel="0" collapsed="false">
      <c r="A2" s="118" t="s">
        <v>588</v>
      </c>
      <c r="B2" s="118"/>
      <c r="C2" s="118"/>
      <c r="D2" s="118"/>
      <c r="E2" s="118"/>
      <c r="F2" s="118"/>
      <c r="AMF2" s="116"/>
    </row>
    <row r="3" customFormat="false" ht="15.75" hidden="false" customHeight="true" outlineLevel="0" collapsed="false">
      <c r="A3" s="118" t="s">
        <v>589</v>
      </c>
      <c r="B3" s="118"/>
      <c r="C3" s="118"/>
      <c r="D3" s="118"/>
      <c r="E3" s="118"/>
      <c r="F3" s="118"/>
      <c r="AMF3" s="116"/>
    </row>
    <row r="4" customFormat="false" ht="36" hidden="false" customHeight="false" outlineLevel="0" collapsed="false">
      <c r="A4" s="119"/>
      <c r="B4" s="120"/>
      <c r="C4" s="121" t="s">
        <v>590</v>
      </c>
      <c r="D4" s="122" t="s">
        <v>591</v>
      </c>
      <c r="E4" s="123" t="s">
        <v>592</v>
      </c>
      <c r="F4" s="124" t="s">
        <v>593</v>
      </c>
      <c r="AMF4" s="116"/>
    </row>
    <row r="5" customFormat="false" ht="15.75" hidden="false" customHeight="false" outlineLevel="0" collapsed="false">
      <c r="A5" s="125"/>
      <c r="B5" s="126" t="s">
        <v>594</v>
      </c>
      <c r="C5" s="127" t="s">
        <v>595</v>
      </c>
      <c r="D5" s="127"/>
      <c r="E5" s="127"/>
      <c r="F5" s="127"/>
      <c r="AMF5" s="116"/>
    </row>
    <row r="6" customFormat="false" ht="15" hidden="false" customHeight="false" outlineLevel="0" collapsed="false">
      <c r="A6" s="128"/>
      <c r="B6" s="126" t="s">
        <v>596</v>
      </c>
      <c r="C6" s="129" t="n">
        <f aca="false">MC!B9</f>
        <v>1348.5</v>
      </c>
      <c r="D6" s="130" t="n">
        <f aca="false">MC!C9</f>
        <v>1977.8</v>
      </c>
      <c r="E6" s="130" t="n">
        <f aca="false">MC!C9</f>
        <v>1977.8</v>
      </c>
      <c r="F6" s="131" t="n">
        <f aca="false">MC!C9</f>
        <v>1977.8</v>
      </c>
      <c r="AMF6" s="116"/>
    </row>
    <row r="7" customFormat="false" ht="15" hidden="false" customHeight="false" outlineLevel="0" collapsed="false">
      <c r="A7" s="128"/>
      <c r="B7" s="126" t="s">
        <v>597</v>
      </c>
      <c r="C7" s="132" t="n">
        <f aca="false">MC!$E9</f>
        <v>45323</v>
      </c>
      <c r="D7" s="133" t="n">
        <f aca="false">MC!$E9</f>
        <v>45323</v>
      </c>
      <c r="E7" s="133" t="n">
        <f aca="false">MC!$E9</f>
        <v>45323</v>
      </c>
      <c r="F7" s="134" t="n">
        <f aca="false">MC!$E9</f>
        <v>45323</v>
      </c>
      <c r="AMF7" s="116"/>
    </row>
    <row r="8" customFormat="false" ht="15" hidden="false" customHeight="false" outlineLevel="0" collapsed="false">
      <c r="A8" s="128"/>
      <c r="B8" s="126" t="s">
        <v>598</v>
      </c>
      <c r="C8" s="132" t="str">
        <f aca="false">MC!$D9</f>
        <v>RS000303/2024</v>
      </c>
      <c r="D8" s="133" t="str">
        <f aca="false">MC!$D9</f>
        <v>RS000303/2024</v>
      </c>
      <c r="E8" s="133" t="str">
        <f aca="false">MC!$D9</f>
        <v>RS000303/2024</v>
      </c>
      <c r="F8" s="134" t="str">
        <f aca="false">MC!$D9</f>
        <v>RS000303/2024</v>
      </c>
      <c r="AMF8" s="116"/>
    </row>
    <row r="9" customFormat="false" ht="15" hidden="false" customHeight="false" outlineLevel="0" collapsed="false">
      <c r="A9" s="135"/>
      <c r="B9" s="136" t="s">
        <v>599</v>
      </c>
      <c r="C9" s="137" t="str">
        <f aca="false">MC!$F9</f>
        <v>5173-30</v>
      </c>
      <c r="D9" s="138" t="str">
        <f aca="false">MC!$F9</f>
        <v>5173-30</v>
      </c>
      <c r="E9" s="138" t="str">
        <f aca="false">MC!$F9</f>
        <v>5173-30</v>
      </c>
      <c r="F9" s="139" t="str">
        <f aca="false">MC!$F9</f>
        <v>5173-30</v>
      </c>
      <c r="AMF9" s="116"/>
    </row>
    <row r="10" customFormat="false" ht="15" hidden="false" customHeight="false" outlineLevel="0" collapsed="false">
      <c r="A10" s="140" t="s">
        <v>600</v>
      </c>
      <c r="B10" s="141"/>
      <c r="C10" s="141"/>
      <c r="D10" s="141"/>
      <c r="E10" s="141"/>
      <c r="F10" s="142"/>
      <c r="AMF10" s="116"/>
    </row>
    <row r="11" customFormat="false" ht="66.75" hidden="false" customHeight="true" outlineLevel="0" collapsed="false">
      <c r="A11" s="143" t="s">
        <v>601</v>
      </c>
      <c r="B11" s="144" t="s">
        <v>602</v>
      </c>
      <c r="C11" s="145" t="s">
        <v>603</v>
      </c>
      <c r="D11" s="145" t="s">
        <v>604</v>
      </c>
      <c r="E11" s="145" t="s">
        <v>605</v>
      </c>
      <c r="F11" s="146" t="s">
        <v>606</v>
      </c>
      <c r="AMF11" s="116"/>
    </row>
    <row r="12" customFormat="false" ht="15.75" hidden="false" customHeight="true" outlineLevel="0" collapsed="false">
      <c r="A12" s="147" t="s">
        <v>607</v>
      </c>
      <c r="B12" s="147"/>
      <c r="C12" s="147"/>
      <c r="D12" s="147"/>
      <c r="E12" s="147"/>
      <c r="F12" s="147"/>
      <c r="AMF12" s="116"/>
    </row>
    <row r="13" customFormat="false" ht="15.75" hidden="false" customHeight="true" outlineLevel="0" collapsed="false">
      <c r="A13" s="148" t="s">
        <v>608</v>
      </c>
      <c r="B13" s="149" t="s">
        <v>609</v>
      </c>
      <c r="C13" s="149" t="s">
        <v>610</v>
      </c>
      <c r="D13" s="149" t="s">
        <v>610</v>
      </c>
      <c r="E13" s="149" t="s">
        <v>610</v>
      </c>
      <c r="F13" s="150" t="s">
        <v>610</v>
      </c>
      <c r="G13" s="151"/>
      <c r="H13" s="151"/>
      <c r="AMF13" s="116"/>
    </row>
    <row r="14" customFormat="false" ht="15.75" hidden="false" customHeight="true" outlineLevel="0" collapsed="false">
      <c r="A14" s="152" t="s">
        <v>611</v>
      </c>
      <c r="B14" s="153"/>
      <c r="C14" s="154" t="n">
        <f aca="false">C6</f>
        <v>1348.5</v>
      </c>
      <c r="D14" s="154" t="n">
        <f aca="false">D6</f>
        <v>1977.8</v>
      </c>
      <c r="E14" s="154" t="n">
        <f aca="false">E6*2</f>
        <v>3955.6</v>
      </c>
      <c r="F14" s="155" t="n">
        <f aca="false">F6*2</f>
        <v>3955.6</v>
      </c>
      <c r="H14" s="156"/>
      <c r="AMF14" s="116"/>
    </row>
    <row r="15" customFormat="false" ht="15.75" hidden="false" customHeight="true" outlineLevel="0" collapsed="false">
      <c r="A15" s="152" t="s">
        <v>612</v>
      </c>
      <c r="B15" s="157" t="n">
        <v>0.3</v>
      </c>
      <c r="C15" s="154" t="n">
        <f aca="false">$B$15*C14</f>
        <v>404.55</v>
      </c>
      <c r="D15" s="154" t="n">
        <f aca="false">$B$15*D14</f>
        <v>593.34</v>
      </c>
      <c r="E15" s="154" t="n">
        <f aca="false">$B$15*E14</f>
        <v>1186.68</v>
      </c>
      <c r="F15" s="155" t="n">
        <f aca="false">$B$15*(F14)</f>
        <v>1186.68</v>
      </c>
      <c r="G15" s="115" t="n">
        <f aca="false">F15/2</f>
        <v>593.34</v>
      </c>
      <c r="H15" s="156" t="n">
        <v>682.06</v>
      </c>
      <c r="AMF15" s="116"/>
    </row>
    <row r="16" customFormat="false" ht="15.75" hidden="false" customHeight="true" outlineLevel="0" collapsed="false">
      <c r="A16" s="152" t="s">
        <v>613</v>
      </c>
      <c r="B16" s="157" t="n">
        <v>0.2</v>
      </c>
      <c r="C16" s="154"/>
      <c r="D16" s="154"/>
      <c r="E16" s="154"/>
      <c r="F16" s="155" t="n">
        <f aca="false">(F14+F15)/220*(8*15)*0.2</f>
        <v>560.976</v>
      </c>
      <c r="G16" s="115" t="n">
        <f aca="false">F16/2</f>
        <v>280.488</v>
      </c>
      <c r="H16" s="115" t="n">
        <v>188.79</v>
      </c>
      <c r="I16" s="156"/>
      <c r="AMF16" s="116"/>
    </row>
    <row r="17" customFormat="false" ht="15.75" hidden="false" customHeight="true" outlineLevel="0" collapsed="false">
      <c r="A17" s="152" t="s">
        <v>614</v>
      </c>
      <c r="B17" s="158"/>
      <c r="C17" s="154"/>
      <c r="D17" s="154"/>
      <c r="E17" s="154"/>
      <c r="F17" s="155" t="n">
        <f aca="false">(F14+F15)/220*1.5*4.334</f>
        <v>151.954374</v>
      </c>
      <c r="G17" s="115" t="n">
        <f aca="false">F17/2</f>
        <v>75.977187</v>
      </c>
      <c r="H17" s="156" t="n">
        <v>38.93</v>
      </c>
      <c r="AMF17" s="116"/>
    </row>
    <row r="18" customFormat="false" ht="15.75" hidden="false" customHeight="true" outlineLevel="0" collapsed="false">
      <c r="A18" s="152" t="s">
        <v>615</v>
      </c>
      <c r="B18" s="157" t="n">
        <v>0.5</v>
      </c>
      <c r="C18" s="154"/>
      <c r="D18" s="154"/>
      <c r="E18" s="154" t="n">
        <f aca="false">(E14/220)*1.5*(15*B18)</f>
        <v>202.275</v>
      </c>
      <c r="F18" s="155" t="n">
        <f aca="false">(F14/220)*1.5*(15*B18)</f>
        <v>202.275</v>
      </c>
      <c r="G18" s="115" t="n">
        <f aca="false">F18/2</f>
        <v>101.1375</v>
      </c>
      <c r="H18" s="156" t="n">
        <v>101.14</v>
      </c>
      <c r="AMF18" s="116"/>
    </row>
    <row r="19" customFormat="false" ht="15.75" hidden="false" customHeight="true" outlineLevel="0" collapsed="false">
      <c r="A19" s="152" t="s">
        <v>616</v>
      </c>
      <c r="B19" s="157"/>
      <c r="C19" s="154" t="n">
        <f aca="false">C14/150/6*22</f>
        <v>32.9633333333333</v>
      </c>
      <c r="D19" s="154" t="n">
        <f aca="false">D14/220/6*22</f>
        <v>32.9633333333333</v>
      </c>
      <c r="E19" s="154" t="n">
        <f aca="false">E14/220/6*15</f>
        <v>44.95</v>
      </c>
      <c r="F19" s="155" t="n">
        <f aca="false">F14/220/6*15</f>
        <v>44.95</v>
      </c>
      <c r="G19" s="115" t="n">
        <f aca="false">SUM(G15:G18)</f>
        <v>1050.942687</v>
      </c>
      <c r="H19" s="156" t="n">
        <f aca="false">SUM(H15:H18)</f>
        <v>1010.92</v>
      </c>
      <c r="AMF19" s="116"/>
    </row>
    <row r="20" customFormat="false" ht="15.75" hidden="false" customHeight="true" outlineLevel="0" collapsed="false">
      <c r="A20" s="152" t="s">
        <v>617</v>
      </c>
      <c r="B20" s="157"/>
      <c r="C20" s="154"/>
      <c r="D20" s="154"/>
      <c r="E20" s="154"/>
      <c r="F20" s="155" t="n">
        <f aca="false">(F16+F17)*0.2</f>
        <v>142.5860748</v>
      </c>
      <c r="AMF20" s="116"/>
    </row>
    <row r="21" customFormat="false" ht="15.75" hidden="false" customHeight="true" outlineLevel="0" collapsed="false">
      <c r="A21" s="159" t="s">
        <v>7</v>
      </c>
      <c r="B21" s="160"/>
      <c r="C21" s="161" t="n">
        <f aca="false">SUM(C14:C20)</f>
        <v>1786.01333333333</v>
      </c>
      <c r="D21" s="161" t="n">
        <f aca="false">SUM(D14:D20)</f>
        <v>2604.10333333333</v>
      </c>
      <c r="E21" s="161" t="n">
        <f aca="false">SUM(E14:E20)</f>
        <v>5389.505</v>
      </c>
      <c r="F21" s="162" t="n">
        <f aca="false">SUM(F14:F20)</f>
        <v>6245.0214488</v>
      </c>
      <c r="AMF21" s="116"/>
    </row>
    <row r="22" customFormat="false" ht="15.75" hidden="false" customHeight="true" outlineLevel="0" collapsed="false">
      <c r="A22" s="163"/>
      <c r="B22" s="163"/>
      <c r="C22" s="164"/>
      <c r="D22" s="164"/>
      <c r="E22" s="164"/>
      <c r="F22" s="165"/>
      <c r="J22" s="156"/>
      <c r="AMF22" s="116"/>
    </row>
    <row r="23" customFormat="false" ht="15.75" hidden="false" customHeight="true" outlineLevel="0" collapsed="false">
      <c r="A23" s="147" t="s">
        <v>618</v>
      </c>
      <c r="B23" s="147"/>
      <c r="C23" s="147"/>
      <c r="D23" s="147"/>
      <c r="E23" s="147"/>
      <c r="F23" s="147"/>
      <c r="AMF23" s="116"/>
    </row>
    <row r="24" customFormat="false" ht="15.75" hidden="false" customHeight="true" outlineLevel="0" collapsed="false">
      <c r="A24" s="166" t="s">
        <v>619</v>
      </c>
      <c r="B24" s="167" t="s">
        <v>609</v>
      </c>
      <c r="C24" s="167" t="s">
        <v>610</v>
      </c>
      <c r="D24" s="167" t="s">
        <v>610</v>
      </c>
      <c r="E24" s="167" t="s">
        <v>610</v>
      </c>
      <c r="F24" s="168" t="s">
        <v>610</v>
      </c>
      <c r="AMF24" s="116"/>
    </row>
    <row r="25" customFormat="false" ht="15.75" hidden="false" customHeight="true" outlineLevel="0" collapsed="false">
      <c r="A25" s="169" t="s">
        <v>620</v>
      </c>
      <c r="B25" s="157" t="n">
        <f aca="false">1/12</f>
        <v>0.0833333333333333</v>
      </c>
      <c r="C25" s="154" t="n">
        <f aca="false">ROUND($B25*C$21,2)</f>
        <v>148.83</v>
      </c>
      <c r="D25" s="154" t="n">
        <f aca="false">ROUND($B25*D$21,2)</f>
        <v>217.01</v>
      </c>
      <c r="E25" s="154" t="n">
        <f aca="false">ROUND($B25*(E$21-E18),2)</f>
        <v>432.27</v>
      </c>
      <c r="F25" s="155" t="n">
        <f aca="false">ROUND($B25*(F$21-F18),2)</f>
        <v>503.56</v>
      </c>
      <c r="AMF25" s="116"/>
    </row>
    <row r="26" customFormat="false" ht="15.75" hidden="false" customHeight="true" outlineLevel="0" collapsed="false">
      <c r="A26" s="169" t="s">
        <v>621</v>
      </c>
      <c r="B26" s="157" t="n">
        <f aca="false">1/3*1/12</f>
        <v>0.0277777777777778</v>
      </c>
      <c r="C26" s="154" t="n">
        <f aca="false">C$21*$B$26</f>
        <v>49.6114814814815</v>
      </c>
      <c r="D26" s="154" t="n">
        <f aca="false">D$21*$B$26</f>
        <v>72.3362037037037</v>
      </c>
      <c r="E26" s="154" t="n">
        <f aca="false">(E$21-E18)*$B$26</f>
        <v>144.089722222222</v>
      </c>
      <c r="F26" s="155" t="n">
        <f aca="false">(F$21-F18)*$B$26</f>
        <v>167.854068022222</v>
      </c>
      <c r="AMF26" s="116"/>
    </row>
    <row r="27" customFormat="false" ht="15.75" hidden="false" customHeight="true" outlineLevel="0" collapsed="false">
      <c r="A27" s="159" t="s">
        <v>7</v>
      </c>
      <c r="B27" s="170" t="n">
        <f aca="false">SUM(B25:B26)</f>
        <v>0.111111111111111</v>
      </c>
      <c r="C27" s="161" t="n">
        <f aca="false">SUM(C25:C26)</f>
        <v>198.441481481482</v>
      </c>
      <c r="D27" s="161" t="n">
        <f aca="false">SUM(D25:D26)</f>
        <v>289.346203703704</v>
      </c>
      <c r="E27" s="161" t="n">
        <f aca="false">SUM(E25:E26)</f>
        <v>576.359722222222</v>
      </c>
      <c r="F27" s="162" t="n">
        <f aca="false">SUM(F25:F26)</f>
        <v>671.414068022222</v>
      </c>
      <c r="AMF27" s="116"/>
    </row>
    <row r="28" customFormat="false" ht="15.75" hidden="false" customHeight="true" outlineLevel="0" collapsed="false">
      <c r="A28" s="166" t="s">
        <v>622</v>
      </c>
      <c r="B28" s="167" t="s">
        <v>609</v>
      </c>
      <c r="C28" s="167" t="s">
        <v>610</v>
      </c>
      <c r="D28" s="167" t="s">
        <v>610</v>
      </c>
      <c r="E28" s="167" t="s">
        <v>610</v>
      </c>
      <c r="F28" s="168" t="s">
        <v>610</v>
      </c>
      <c r="AMF28" s="116"/>
    </row>
    <row r="29" customFormat="false" ht="15.75" hidden="false" customHeight="true" outlineLevel="0" collapsed="false">
      <c r="A29" s="171" t="s">
        <v>623</v>
      </c>
      <c r="B29" s="172"/>
      <c r="C29" s="172"/>
      <c r="D29" s="172"/>
      <c r="E29" s="172"/>
      <c r="F29" s="173"/>
      <c r="AMF29" s="116"/>
    </row>
    <row r="30" customFormat="false" ht="15.75" hidden="false" customHeight="true" outlineLevel="0" collapsed="false">
      <c r="A30" s="169" t="s">
        <v>624</v>
      </c>
      <c r="B30" s="157" t="n">
        <v>0.2</v>
      </c>
      <c r="C30" s="174" t="n">
        <f aca="false">ROUND(($C$21+$C$27)*$B30,2)</f>
        <v>396.89</v>
      </c>
      <c r="D30" s="174" t="n">
        <f aca="false">ROUND(($D$21+$D$27)*$B30,2)</f>
        <v>578.69</v>
      </c>
      <c r="E30" s="174" t="n">
        <f aca="false">ROUND(($E$21+$E$27)*$B30,2)</f>
        <v>1193.17</v>
      </c>
      <c r="F30" s="175" t="n">
        <f aca="false">ROUND(($F$21+$F$27)*$B30,2)</f>
        <v>1383.29</v>
      </c>
      <c r="AMF30" s="116"/>
    </row>
    <row r="31" customFormat="false" ht="15.75" hidden="false" customHeight="true" outlineLevel="0" collapsed="false">
      <c r="A31" s="169" t="s">
        <v>625</v>
      </c>
      <c r="B31" s="157" t="n">
        <v>0.025</v>
      </c>
      <c r="C31" s="174" t="n">
        <f aca="false">ROUND(($C$21+$C$27)*$B31,2)</f>
        <v>49.61</v>
      </c>
      <c r="D31" s="174" t="n">
        <f aca="false">ROUND(($D$21+$D$27)*B31,2)</f>
        <v>72.34</v>
      </c>
      <c r="E31" s="174" t="n">
        <f aca="false">ROUND(($E$21+$E$27)*B31,2)</f>
        <v>149.15</v>
      </c>
      <c r="F31" s="175" t="n">
        <f aca="false">ROUND(($F$21+$F$27)*B31,2)</f>
        <v>172.91</v>
      </c>
      <c r="AMF31" s="116"/>
    </row>
    <row r="32" customFormat="false" ht="15.75" hidden="false" customHeight="true" outlineLevel="0" collapsed="false">
      <c r="A32" s="169" t="s">
        <v>626</v>
      </c>
      <c r="B32" s="157" t="n">
        <v>0.03</v>
      </c>
      <c r="C32" s="174" t="n">
        <f aca="false">ROUND(($C$21+$C$27)*$B32,2)</f>
        <v>59.53</v>
      </c>
      <c r="D32" s="174" t="n">
        <f aca="false">ROUND(($D$21+$D$27)*B32,2)</f>
        <v>86.8</v>
      </c>
      <c r="E32" s="174" t="n">
        <f aca="false">ROUND(($E$21+$E$27)*B32,2)</f>
        <v>178.98</v>
      </c>
      <c r="F32" s="175" t="n">
        <f aca="false">ROUND(($F$21+$F$27)*B32,2)</f>
        <v>207.49</v>
      </c>
      <c r="AMF32" s="116"/>
    </row>
    <row r="33" customFormat="false" ht="15.75" hidden="false" customHeight="true" outlineLevel="0" collapsed="false">
      <c r="A33" s="169" t="s">
        <v>627</v>
      </c>
      <c r="B33" s="157" t="n">
        <v>0.015</v>
      </c>
      <c r="C33" s="174" t="n">
        <f aca="false">ROUND(($C$21+$C$27)*$B33,2)</f>
        <v>29.77</v>
      </c>
      <c r="D33" s="174" t="n">
        <f aca="false">ROUND(($D$21+$D$27)*B33,2)</f>
        <v>43.4</v>
      </c>
      <c r="E33" s="174" t="n">
        <f aca="false">ROUND(($E$21+$E$27)*B33,2)</f>
        <v>89.49</v>
      </c>
      <c r="F33" s="175" t="n">
        <f aca="false">ROUND(($F$21+$F$27)*B33,2)</f>
        <v>103.75</v>
      </c>
      <c r="AMF33" s="116"/>
    </row>
    <row r="34" customFormat="false" ht="15.75" hidden="false" customHeight="true" outlineLevel="0" collapsed="false">
      <c r="A34" s="169" t="s">
        <v>628</v>
      </c>
      <c r="B34" s="157" t="n">
        <v>0.01</v>
      </c>
      <c r="C34" s="174" t="n">
        <f aca="false">ROUND(($C$21+$C$27)*$B34,2)</f>
        <v>19.84</v>
      </c>
      <c r="D34" s="174" t="n">
        <f aca="false">ROUND(($D$21+$D$27)*B34,2)</f>
        <v>28.93</v>
      </c>
      <c r="E34" s="174" t="n">
        <f aca="false">ROUND(($E$21+$E$27)*B34,2)</f>
        <v>59.66</v>
      </c>
      <c r="F34" s="175" t="n">
        <f aca="false">ROUND(($F$21+$F$27)*B34,2)</f>
        <v>69.16</v>
      </c>
      <c r="AMF34" s="116"/>
    </row>
    <row r="35" customFormat="false" ht="15.75" hidden="false" customHeight="true" outlineLevel="0" collapsed="false">
      <c r="A35" s="169" t="s">
        <v>629</v>
      </c>
      <c r="B35" s="157" t="n">
        <v>0.006</v>
      </c>
      <c r="C35" s="174" t="n">
        <f aca="false">ROUND(($C$21+$C$27)*$B35,2)</f>
        <v>11.91</v>
      </c>
      <c r="D35" s="174" t="n">
        <f aca="false">ROUND(($D$21+$D$27)*B35,2)</f>
        <v>17.36</v>
      </c>
      <c r="E35" s="174" t="n">
        <f aca="false">ROUND(($E$21+$E$27)*B35,2)</f>
        <v>35.8</v>
      </c>
      <c r="F35" s="175" t="n">
        <f aca="false">ROUND(($F$21+$F$27)*B35,2)</f>
        <v>41.5</v>
      </c>
      <c r="AMF35" s="116"/>
    </row>
    <row r="36" customFormat="false" ht="15.75" hidden="false" customHeight="true" outlineLevel="0" collapsed="false">
      <c r="A36" s="169" t="s">
        <v>630</v>
      </c>
      <c r="B36" s="157" t="n">
        <v>0.002</v>
      </c>
      <c r="C36" s="174" t="n">
        <f aca="false">ROUND(($C$21+$C$27)*$B36,2)</f>
        <v>3.97</v>
      </c>
      <c r="D36" s="174" t="n">
        <f aca="false">ROUND(($D$21+$D$27)*B36,2)</f>
        <v>5.79</v>
      </c>
      <c r="E36" s="174" t="n">
        <f aca="false">ROUND(($E$21+$E$27)*B36,2)</f>
        <v>11.93</v>
      </c>
      <c r="F36" s="175" t="n">
        <f aca="false">ROUND(($F$21+$F$27)*B36,2)</f>
        <v>13.83</v>
      </c>
      <c r="AMF36" s="116"/>
    </row>
    <row r="37" customFormat="false" ht="15.75" hidden="false" customHeight="true" outlineLevel="0" collapsed="false">
      <c r="A37" s="169" t="s">
        <v>631</v>
      </c>
      <c r="B37" s="157" t="n">
        <v>0.08</v>
      </c>
      <c r="C37" s="174" t="n">
        <f aca="false">ROUND(($C$21+$C$27)*$B37,2)</f>
        <v>158.76</v>
      </c>
      <c r="D37" s="174" t="n">
        <f aca="false">ROUND(($D$21+$D$27)*B37,2)</f>
        <v>231.48</v>
      </c>
      <c r="E37" s="174" t="n">
        <f aca="false">ROUND(($E$21+$E$27)*B37,2)</f>
        <v>477.27</v>
      </c>
      <c r="F37" s="175" t="n">
        <f aca="false">ROUND(($F$21+$F$27)*B37,2)</f>
        <v>553.31</v>
      </c>
      <c r="AMF37" s="116"/>
    </row>
    <row r="38" customFormat="false" ht="15.75" hidden="false" customHeight="true" outlineLevel="0" collapsed="false">
      <c r="A38" s="159" t="s">
        <v>7</v>
      </c>
      <c r="B38" s="170" t="n">
        <f aca="false">SUM(B30:B37)</f>
        <v>0.368</v>
      </c>
      <c r="C38" s="161" t="n">
        <f aca="false">SUM(C29:C37)</f>
        <v>730.28</v>
      </c>
      <c r="D38" s="161" t="n">
        <f aca="false">SUM(D29:D37)</f>
        <v>1064.79</v>
      </c>
      <c r="E38" s="161" t="n">
        <f aca="false">SUM(E30:E37)</f>
        <v>2195.45</v>
      </c>
      <c r="F38" s="162" t="n">
        <f aca="false">SUM(F30:F37)</f>
        <v>2545.24</v>
      </c>
      <c r="AMF38" s="116"/>
    </row>
    <row r="39" customFormat="false" ht="15.75" hidden="false" customHeight="true" outlineLevel="0" collapsed="false">
      <c r="A39" s="166" t="s">
        <v>632</v>
      </c>
      <c r="B39" s="167" t="s">
        <v>633</v>
      </c>
      <c r="C39" s="167" t="s">
        <v>610</v>
      </c>
      <c r="D39" s="167" t="s">
        <v>610</v>
      </c>
      <c r="E39" s="167" t="s">
        <v>610</v>
      </c>
      <c r="F39" s="168" t="s">
        <v>610</v>
      </c>
      <c r="AMF39" s="116"/>
    </row>
    <row r="40" customFormat="false" ht="15.75" hidden="false" customHeight="true" outlineLevel="0" collapsed="false">
      <c r="A40" s="169" t="s">
        <v>634</v>
      </c>
      <c r="B40" s="176" t="n">
        <f aca="false">VT!E4</f>
        <v>3.54108695652174</v>
      </c>
      <c r="C40" s="154" t="n">
        <f aca="false">ROUND(($B$40*2*22)-(0.06*C$14),2)</f>
        <v>74.9</v>
      </c>
      <c r="D40" s="154" t="n">
        <f aca="false">ROUND(($B$40*2*22)-(0.06*D$14),2)</f>
        <v>37.14</v>
      </c>
      <c r="E40" s="154" t="n">
        <f aca="false">ROUND(($B$40*2*30)-(0.06*E$14),2)</f>
        <v>-24.87</v>
      </c>
      <c r="F40" s="155" t="n">
        <f aca="false">ROUND(($B$40*2*30)-(0.06*F$14),2)</f>
        <v>-24.87</v>
      </c>
      <c r="H40" s="177"/>
      <c r="AMF40" s="116"/>
    </row>
    <row r="41" customFormat="false" ht="15.75" hidden="false" customHeight="true" outlineLevel="0" collapsed="false">
      <c r="A41" s="169" t="s">
        <v>635</v>
      </c>
      <c r="B41" s="178" t="n">
        <f aca="false">MC!B33</f>
        <v>27</v>
      </c>
      <c r="C41" s="174" t="n">
        <f aca="false">(ROUND(($B$41*(1-0.2)*22),2))</f>
        <v>475.2</v>
      </c>
      <c r="D41" s="174" t="n">
        <f aca="false">(ROUND(($B$41*(1-0.2)*22),2))</f>
        <v>475.2</v>
      </c>
      <c r="E41" s="174" t="n">
        <f aca="false">(ROUND(($B$41*(1-0.2)*30),2))</f>
        <v>648</v>
      </c>
      <c r="F41" s="175" t="n">
        <f aca="false">(ROUND(($B$41*(1-0.2)*30),2))</f>
        <v>648</v>
      </c>
      <c r="AMF41" s="116"/>
    </row>
    <row r="42" customFormat="false" ht="15.75" hidden="false" customHeight="true" outlineLevel="0" collapsed="false">
      <c r="A42" s="169" t="s">
        <v>636</v>
      </c>
      <c r="B42" s="157"/>
      <c r="C42" s="174"/>
      <c r="D42" s="174"/>
      <c r="E42" s="174"/>
      <c r="F42" s="175"/>
      <c r="AMF42" s="116"/>
    </row>
    <row r="43" customFormat="false" ht="15.75" hidden="false" customHeight="true" outlineLevel="0" collapsed="false">
      <c r="A43" s="179" t="s">
        <v>637</v>
      </c>
      <c r="B43" s="180" t="n">
        <f aca="false">MC!$B38</f>
        <v>23.72</v>
      </c>
      <c r="C43" s="174" t="n">
        <f aca="false">MC!$B38</f>
        <v>23.72</v>
      </c>
      <c r="D43" s="174" t="n">
        <f aca="false">MC!$B38</f>
        <v>23.72</v>
      </c>
      <c r="E43" s="174" t="n">
        <f aca="false">MC!$B38*2</f>
        <v>47.44</v>
      </c>
      <c r="F43" s="175" t="n">
        <f aca="false">MC!$B38*2</f>
        <v>47.44</v>
      </c>
      <c r="G43" s="181"/>
      <c r="AMF43" s="116"/>
    </row>
    <row r="44" customFormat="false" ht="15.75" hidden="false" customHeight="true" outlineLevel="0" collapsed="false">
      <c r="A44" s="169" t="s">
        <v>638</v>
      </c>
      <c r="B44" s="157"/>
      <c r="C44" s="174"/>
      <c r="D44" s="174"/>
      <c r="E44" s="174"/>
      <c r="F44" s="175"/>
      <c r="AMF44" s="116"/>
    </row>
    <row r="45" customFormat="false" ht="15.75" hidden="false" customHeight="true" outlineLevel="0" collapsed="false">
      <c r="A45" s="169" t="s">
        <v>639</v>
      </c>
      <c r="B45" s="157"/>
      <c r="C45" s="174"/>
      <c r="D45" s="174"/>
      <c r="E45" s="174"/>
      <c r="F45" s="175"/>
      <c r="AMF45" s="116"/>
    </row>
    <row r="46" customFormat="false" ht="15.75" hidden="false" customHeight="true" outlineLevel="0" collapsed="false">
      <c r="A46" s="159" t="s">
        <v>7</v>
      </c>
      <c r="B46" s="160"/>
      <c r="C46" s="161" t="n">
        <f aca="false">SUM(C40:C45)</f>
        <v>573.82</v>
      </c>
      <c r="D46" s="161" t="n">
        <f aca="false">SUM(D40:D45)</f>
        <v>536.06</v>
      </c>
      <c r="E46" s="161" t="n">
        <f aca="false">SUM(E40:E45)</f>
        <v>670.57</v>
      </c>
      <c r="F46" s="162" t="n">
        <f aca="false">SUM(F40:F45)</f>
        <v>670.57</v>
      </c>
      <c r="AMF46" s="116"/>
    </row>
    <row r="47" customFormat="false" ht="15.75" hidden="false" customHeight="true" outlineLevel="0" collapsed="false">
      <c r="A47" s="148" t="s">
        <v>640</v>
      </c>
      <c r="B47" s="149" t="s">
        <v>609</v>
      </c>
      <c r="C47" s="149" t="s">
        <v>610</v>
      </c>
      <c r="D47" s="149" t="s">
        <v>610</v>
      </c>
      <c r="E47" s="149" t="s">
        <v>610</v>
      </c>
      <c r="F47" s="150" t="s">
        <v>610</v>
      </c>
      <c r="AMF47" s="116"/>
    </row>
    <row r="48" customFormat="false" ht="15.75" hidden="false" customHeight="true" outlineLevel="0" collapsed="false">
      <c r="A48" s="169" t="s">
        <v>619</v>
      </c>
      <c r="B48" s="182" t="n">
        <f aca="false">B27</f>
        <v>0.111111111111111</v>
      </c>
      <c r="C48" s="183" t="n">
        <f aca="false">C27</f>
        <v>198.441481481482</v>
      </c>
      <c r="D48" s="183" t="n">
        <f aca="false">D27</f>
        <v>289.346203703704</v>
      </c>
      <c r="E48" s="183" t="n">
        <f aca="false">E27</f>
        <v>576.359722222222</v>
      </c>
      <c r="F48" s="184" t="n">
        <f aca="false">F27</f>
        <v>671.414068022222</v>
      </c>
      <c r="AMF48" s="116"/>
    </row>
    <row r="49" customFormat="false" ht="15.75" hidden="false" customHeight="true" outlineLevel="0" collapsed="false">
      <c r="A49" s="169" t="s">
        <v>641</v>
      </c>
      <c r="B49" s="182" t="n">
        <f aca="false">B38</f>
        <v>0.368</v>
      </c>
      <c r="C49" s="183" t="n">
        <f aca="false">C38</f>
        <v>730.28</v>
      </c>
      <c r="D49" s="183" t="n">
        <f aca="false">D38</f>
        <v>1064.79</v>
      </c>
      <c r="E49" s="183" t="n">
        <f aca="false">E38</f>
        <v>2195.45</v>
      </c>
      <c r="F49" s="184" t="n">
        <f aca="false">F38</f>
        <v>2545.24</v>
      </c>
      <c r="AMF49" s="116"/>
    </row>
    <row r="50" customFormat="false" ht="15.75" hidden="false" customHeight="true" outlineLevel="0" collapsed="false">
      <c r="A50" s="169" t="s">
        <v>632</v>
      </c>
      <c r="B50" s="182"/>
      <c r="C50" s="183" t="n">
        <f aca="false">C46</f>
        <v>573.82</v>
      </c>
      <c r="D50" s="183" t="n">
        <f aca="false">D46</f>
        <v>536.06</v>
      </c>
      <c r="E50" s="183" t="n">
        <f aca="false">E46</f>
        <v>670.57</v>
      </c>
      <c r="F50" s="184" t="n">
        <f aca="false">F46</f>
        <v>670.57</v>
      </c>
      <c r="AMF50" s="116"/>
    </row>
    <row r="51" customFormat="false" ht="15.75" hidden="false" customHeight="true" outlineLevel="0" collapsed="false">
      <c r="A51" s="159" t="s">
        <v>7</v>
      </c>
      <c r="B51" s="160"/>
      <c r="C51" s="161" t="n">
        <f aca="false">SUM(C48:C50)</f>
        <v>1502.54148148148</v>
      </c>
      <c r="D51" s="161" t="n">
        <f aca="false">SUM(D48:D50)</f>
        <v>1890.1962037037</v>
      </c>
      <c r="E51" s="161" t="n">
        <f aca="false">SUM(E48:E50)</f>
        <v>3442.37972222222</v>
      </c>
      <c r="F51" s="162" t="n">
        <f aca="false">SUM(F48:F50)</f>
        <v>3887.22406802222</v>
      </c>
      <c r="AMF51" s="116"/>
    </row>
    <row r="52" customFormat="false" ht="15.75" hidden="false" customHeight="true" outlineLevel="0" collapsed="false">
      <c r="A52" s="163"/>
      <c r="B52" s="163"/>
      <c r="C52" s="164"/>
      <c r="D52" s="164"/>
      <c r="E52" s="164"/>
      <c r="F52" s="165"/>
      <c r="AMF52" s="116"/>
    </row>
    <row r="53" s="185" customFormat="true" ht="15.75" hidden="false" customHeight="true" outlineLevel="0" collapsed="false">
      <c r="A53" s="147" t="s">
        <v>642</v>
      </c>
      <c r="B53" s="147"/>
      <c r="C53" s="147"/>
      <c r="D53" s="147"/>
      <c r="E53" s="147"/>
      <c r="F53" s="147"/>
    </row>
    <row r="54" customFormat="false" ht="15.75" hidden="false" customHeight="true" outlineLevel="0" collapsed="false">
      <c r="A54" s="148" t="s">
        <v>643</v>
      </c>
      <c r="B54" s="149" t="s">
        <v>609</v>
      </c>
      <c r="C54" s="149" t="s">
        <v>610</v>
      </c>
      <c r="D54" s="149" t="s">
        <v>610</v>
      </c>
      <c r="E54" s="149" t="s">
        <v>610</v>
      </c>
      <c r="F54" s="150" t="s">
        <v>610</v>
      </c>
      <c r="AMF54" s="116"/>
    </row>
    <row r="55" customFormat="false" ht="15.75" hidden="false" customHeight="true" outlineLevel="0" collapsed="false">
      <c r="A55" s="169" t="s">
        <v>644</v>
      </c>
      <c r="B55" s="182" t="n">
        <f aca="false">1/12*0.05</f>
        <v>0.00416666666666667</v>
      </c>
      <c r="C55" s="186" t="n">
        <f aca="false">C$21*$B55</f>
        <v>7.44172222222222</v>
      </c>
      <c r="D55" s="186" t="n">
        <f aca="false">D$21*$B55</f>
        <v>10.8504305555556</v>
      </c>
      <c r="E55" s="186" t="n">
        <f aca="false">(E$21-E18)*$B55</f>
        <v>21.6134583333333</v>
      </c>
      <c r="F55" s="187" t="n">
        <f aca="false">(F$21-F18)*$B55</f>
        <v>25.1781102033333</v>
      </c>
      <c r="AMF55" s="116"/>
    </row>
    <row r="56" customFormat="false" ht="15.75" hidden="false" customHeight="true" outlineLevel="0" collapsed="false">
      <c r="A56" s="169" t="s">
        <v>645</v>
      </c>
      <c r="B56" s="182" t="n">
        <f aca="false">B37*B55</f>
        <v>0.000333333333333333</v>
      </c>
      <c r="C56" s="186" t="n">
        <f aca="false">C$21*$B56</f>
        <v>0.595337777777778</v>
      </c>
      <c r="D56" s="186" t="n">
        <f aca="false">D$21*$B56</f>
        <v>0.868034444444444</v>
      </c>
      <c r="E56" s="186" t="n">
        <f aca="false">(E$21-E18)*$B56</f>
        <v>1.72907666666667</v>
      </c>
      <c r="F56" s="187" t="n">
        <f aca="false">(F$21-F18)*$B56</f>
        <v>2.01424881626667</v>
      </c>
      <c r="AMF56" s="116"/>
    </row>
    <row r="57" customFormat="false" ht="15.75" hidden="false" customHeight="true" outlineLevel="0" collapsed="false">
      <c r="A57" s="169" t="s">
        <v>646</v>
      </c>
      <c r="B57" s="182" t="n">
        <v>0</v>
      </c>
      <c r="C57" s="186" t="n">
        <f aca="false">C$21*$B57</f>
        <v>0</v>
      </c>
      <c r="D57" s="186" t="n">
        <f aca="false">D$21*$B57</f>
        <v>0</v>
      </c>
      <c r="E57" s="186" t="n">
        <f aca="false">E$21*$B57</f>
        <v>0</v>
      </c>
      <c r="F57" s="187" t="n">
        <f aca="false">F$21*$B57</f>
        <v>0</v>
      </c>
      <c r="AMF57" s="116"/>
    </row>
    <row r="58" customFormat="false" ht="15.75" hidden="false" customHeight="true" outlineLevel="0" collapsed="false">
      <c r="A58" s="169" t="s">
        <v>647</v>
      </c>
      <c r="B58" s="182" t="n">
        <f aca="false">7/12*1/30</f>
        <v>0.0194444444444444</v>
      </c>
      <c r="C58" s="186" t="n">
        <f aca="false">C$21*$B58</f>
        <v>34.728037037037</v>
      </c>
      <c r="D58" s="186" t="n">
        <f aca="false">D$21*$B58</f>
        <v>50.6353425925926</v>
      </c>
      <c r="E58" s="186" t="n">
        <f aca="false">(E$21-E18)*$B58</f>
        <v>100.862805555556</v>
      </c>
      <c r="F58" s="187" t="n">
        <f aca="false">(F$21-F18)*$B58</f>
        <v>117.497847615556</v>
      </c>
      <c r="AMF58" s="116"/>
    </row>
    <row r="59" customFormat="false" ht="15.75" hidden="false" customHeight="true" outlineLevel="0" collapsed="false">
      <c r="A59" s="169" t="s">
        <v>648</v>
      </c>
      <c r="B59" s="182" t="n">
        <f aca="false">B38*B58</f>
        <v>0.00715555555555556</v>
      </c>
      <c r="C59" s="186" t="n">
        <f aca="false">C$21*$B59</f>
        <v>12.7799176296296</v>
      </c>
      <c r="D59" s="186" t="n">
        <f aca="false">D$21*$B59</f>
        <v>18.6338060740741</v>
      </c>
      <c r="E59" s="186" t="n">
        <f aca="false">(E$21-E18)*$B59</f>
        <v>37.1175124444444</v>
      </c>
      <c r="F59" s="187" t="n">
        <f aca="false">(F$21-F18)*$B59</f>
        <v>43.2392079225244</v>
      </c>
      <c r="AMF59" s="116"/>
    </row>
    <row r="60" customFormat="false" ht="15.75" hidden="false" customHeight="true" outlineLevel="0" collapsed="false">
      <c r="A60" s="169" t="s">
        <v>649</v>
      </c>
      <c r="B60" s="182" t="n">
        <f aca="false">B37*40/100*90/100*(1+1/12+1/12+1/3*1/12)</f>
        <v>0.0344</v>
      </c>
      <c r="C60" s="186" t="n">
        <f aca="false">C$21*$B60</f>
        <v>61.4388586666667</v>
      </c>
      <c r="D60" s="186" t="n">
        <f aca="false">D$21*$B60</f>
        <v>89.5811546666666</v>
      </c>
      <c r="E60" s="186" t="n">
        <f aca="false">(E$21-E18)*$B60</f>
        <v>178.440712</v>
      </c>
      <c r="F60" s="187" t="n">
        <f aca="false">(F$21-F18)*$B60</f>
        <v>207.87047783872</v>
      </c>
      <c r="AMF60" s="116"/>
    </row>
    <row r="61" customFormat="false" ht="15.75" hidden="false" customHeight="true" outlineLevel="0" collapsed="false">
      <c r="A61" s="159" t="s">
        <v>7</v>
      </c>
      <c r="B61" s="170" t="n">
        <f aca="false">SUM(B55:B60)</f>
        <v>0.0655</v>
      </c>
      <c r="C61" s="188" t="n">
        <f aca="false">SUM(C55:C60)</f>
        <v>116.983873333333</v>
      </c>
      <c r="D61" s="188" t="n">
        <f aca="false">SUM(D55:D60)</f>
        <v>170.568768333333</v>
      </c>
      <c r="E61" s="188" t="n">
        <f aca="false">SUM(E55:E60)</f>
        <v>339.763565</v>
      </c>
      <c r="F61" s="189" t="n">
        <f aca="false">SUM(F55:F60)</f>
        <v>395.7998923964</v>
      </c>
      <c r="AMF61" s="116"/>
    </row>
    <row r="62" customFormat="false" ht="15.75" hidden="false" customHeight="true" outlineLevel="0" collapsed="false">
      <c r="A62" s="163"/>
      <c r="B62" s="163"/>
      <c r="C62" s="190"/>
      <c r="D62" s="190"/>
      <c r="E62" s="190"/>
      <c r="F62" s="191"/>
      <c r="AMF62" s="116"/>
    </row>
    <row r="63" customFormat="false" ht="15.75" hidden="false" customHeight="true" outlineLevel="0" collapsed="false">
      <c r="A63" s="147" t="s">
        <v>650</v>
      </c>
      <c r="B63" s="147"/>
      <c r="C63" s="147"/>
      <c r="D63" s="147"/>
      <c r="E63" s="147"/>
      <c r="F63" s="147"/>
      <c r="AMF63" s="116"/>
    </row>
    <row r="64" customFormat="false" ht="15.75" hidden="false" customHeight="true" outlineLevel="0" collapsed="false">
      <c r="A64" s="166" t="s">
        <v>651</v>
      </c>
      <c r="B64" s="167" t="s">
        <v>633</v>
      </c>
      <c r="C64" s="167" t="s">
        <v>610</v>
      </c>
      <c r="D64" s="167" t="s">
        <v>610</v>
      </c>
      <c r="E64" s="167" t="s">
        <v>610</v>
      </c>
      <c r="F64" s="168" t="s">
        <v>610</v>
      </c>
      <c r="AMF64" s="116"/>
    </row>
    <row r="65" customFormat="false" ht="15.75" hidden="false" customHeight="true" outlineLevel="0" collapsed="false">
      <c r="A65" s="169" t="s">
        <v>652</v>
      </c>
      <c r="B65" s="157" t="n">
        <f aca="false">1/12</f>
        <v>0.0833333333333333</v>
      </c>
      <c r="C65" s="174" t="n">
        <f aca="false">$B65*(C$21+(C$51-C$40-C$41)+C$61)</f>
        <v>237.953224012346</v>
      </c>
      <c r="D65" s="174" t="n">
        <f aca="false">$B65*(D$21+(D$51-D$40-D$41)+D$61)</f>
        <v>346.044025447531</v>
      </c>
      <c r="E65" s="174" t="n">
        <f aca="false">$B65*(E$21+(E$51-E$40-E$41)+E$61)</f>
        <v>712.376523935185</v>
      </c>
      <c r="F65" s="175" t="n">
        <f aca="false">$B65*(F$21+(F$51-F$40-F$41)+F$61)</f>
        <v>825.409617434885</v>
      </c>
      <c r="AMF65" s="116"/>
    </row>
    <row r="66" customFormat="false" ht="15.75" hidden="false" customHeight="true" outlineLevel="0" collapsed="false">
      <c r="A66" s="169" t="s">
        <v>653</v>
      </c>
      <c r="B66" s="157" t="n">
        <f aca="false">(2.96/30/12)</f>
        <v>0.00822222222222222</v>
      </c>
      <c r="C66" s="174" t="n">
        <f aca="false">$B66*(C$21+(C$51-C$40-C$41)+C$61)</f>
        <v>23.4780514358848</v>
      </c>
      <c r="D66" s="174" t="n">
        <f aca="false">$B66*(D$21+(D$51-D$40-D$41)+D$61)</f>
        <v>34.143010510823</v>
      </c>
      <c r="E66" s="174" t="n">
        <f aca="false">$B66*(E$21+(E$51-E$40-E$41)+E$61)</f>
        <v>70.2878170282716</v>
      </c>
      <c r="F66" s="175" t="n">
        <f aca="false">$B66*(F$21+(F$51-F$40-F$41)+F$61)</f>
        <v>81.4404155869087</v>
      </c>
      <c r="AMF66" s="116"/>
    </row>
    <row r="67" customFormat="false" ht="15.75" hidden="false" customHeight="true" outlineLevel="0" collapsed="false">
      <c r="A67" s="169" t="s">
        <v>654</v>
      </c>
      <c r="B67" s="192" t="n">
        <f aca="false">(((20/30/12)*(0.89*0.01356)))</f>
        <v>0.000670466666666667</v>
      </c>
      <c r="C67" s="174" t="n">
        <f aca="false">$B67*(C$21+(C$51-C$40-C$41)+C$61)</f>
        <v>1.91447645911373</v>
      </c>
      <c r="D67" s="174" t="n">
        <f aca="false">$B67*(D$21+(D$51-D$40-D$41)+D$61)</f>
        <v>2.78413181114065</v>
      </c>
      <c r="E67" s="174" t="n">
        <f aca="false">$B67*(E$21+(E$51-E$40-E$41)+E$61)</f>
        <v>5.73149656097292</v>
      </c>
      <c r="F67" s="175" t="n">
        <f aca="false">$B67*(F$21+(F$51-F$40-F$41)+F$61)</f>
        <v>6.64091561803411</v>
      </c>
      <c r="AMF67" s="116"/>
    </row>
    <row r="68" customFormat="false" ht="15.75" hidden="false" customHeight="true" outlineLevel="0" collapsed="false">
      <c r="A68" s="169" t="s">
        <v>655</v>
      </c>
      <c r="B68" s="192" t="n">
        <f aca="false">((15/30/12)*(148775/46236176)*100)</f>
        <v>0.0134071605171962</v>
      </c>
      <c r="C68" s="174" t="n">
        <f aca="false">$B68*(C$21+(C$51-C$40-C$41)+C$61)</f>
        <v>38.2833248390143</v>
      </c>
      <c r="D68" s="174" t="n">
        <f aca="false">$B68*(D$21+(D$51-D$40-D$41)+D$61)</f>
        <v>55.6736135423012</v>
      </c>
      <c r="E68" s="174" t="n">
        <f aca="false">$B68*(E$21+(E$51-E$40-E$41)+E$61)</f>
        <v>114.611356860975</v>
      </c>
      <c r="F68" s="175" t="n">
        <f aca="false">$B68*(F$21+(F$51-F$40-F$41)+F$61)</f>
        <v>132.796790800644</v>
      </c>
      <c r="AMF68" s="116"/>
    </row>
    <row r="69" customFormat="false" ht="15.75" hidden="false" customHeight="true" outlineLevel="0" collapsed="false">
      <c r="A69" s="169" t="s">
        <v>656</v>
      </c>
      <c r="B69" s="157" t="n">
        <f aca="false">(((180/30/12)*(0.01356*0.11)*B38))</f>
        <v>0.0002744544</v>
      </c>
      <c r="C69" s="174" t="n">
        <f aca="false">$B69*(C$21+(C$51-C$40-C$41)+C$61)</f>
        <v>0.783687711892487</v>
      </c>
      <c r="D69" s="174" t="n">
        <f aca="false">$B69*(D$21+(D$51-D$40-D$41)+D$61)</f>
        <v>1.13967966453344</v>
      </c>
      <c r="E69" s="174" t="n">
        <f aca="false">$B69*(E$21+(E$51-E$40-E$41)+E$61)</f>
        <v>2.3461784574086</v>
      </c>
      <c r="F69" s="175" t="n">
        <f aca="false">$B69*(F$21+(F$51-F$40-F$41)+F$61)</f>
        <v>2.71844761568785</v>
      </c>
      <c r="AMF69" s="116"/>
    </row>
    <row r="70" customFormat="false" ht="15.75" hidden="false" customHeight="true" outlineLevel="0" collapsed="false">
      <c r="A70" s="169" t="s">
        <v>657</v>
      </c>
      <c r="B70" s="157"/>
      <c r="C70" s="174"/>
      <c r="D70" s="174"/>
      <c r="E70" s="174"/>
      <c r="F70" s="175"/>
      <c r="AMF70" s="116"/>
    </row>
    <row r="71" customFormat="false" ht="15.75" hidden="false" customHeight="true" outlineLevel="0" collapsed="false">
      <c r="A71" s="193" t="s">
        <v>658</v>
      </c>
      <c r="B71" s="194" t="n">
        <f aca="false">SUM(B65:B70)</f>
        <v>0.105907637139418</v>
      </c>
      <c r="C71" s="195" t="n">
        <f aca="false">SUM(C65:C70)</f>
        <v>302.412764458251</v>
      </c>
      <c r="D71" s="195" t="n">
        <f aca="false">SUM(D65:D70)</f>
        <v>439.784460976329</v>
      </c>
      <c r="E71" s="195" t="n">
        <f aca="false">SUM(E65:E70)</f>
        <v>905.353372842813</v>
      </c>
      <c r="F71" s="196" t="n">
        <f aca="false">SUM(F65:F70)</f>
        <v>1049.00618705616</v>
      </c>
      <c r="AMF71" s="116"/>
    </row>
    <row r="72" customFormat="false" ht="15.75" hidden="false" customHeight="true" outlineLevel="0" collapsed="false">
      <c r="A72" s="166" t="s">
        <v>659</v>
      </c>
      <c r="B72" s="167" t="s">
        <v>633</v>
      </c>
      <c r="C72" s="167" t="s">
        <v>610</v>
      </c>
      <c r="D72" s="167" t="s">
        <v>610</v>
      </c>
      <c r="E72" s="167" t="s">
        <v>610</v>
      </c>
      <c r="F72" s="168" t="s">
        <v>610</v>
      </c>
      <c r="AMF72" s="116"/>
    </row>
    <row r="73" customFormat="false" ht="15.75" hidden="false" customHeight="true" outlineLevel="0" collapsed="false">
      <c r="A73" s="169" t="s">
        <v>660</v>
      </c>
      <c r="B73" s="157" t="n">
        <v>0</v>
      </c>
      <c r="C73" s="174"/>
      <c r="D73" s="174"/>
      <c r="E73" s="174"/>
      <c r="F73" s="175"/>
      <c r="AMF73" s="116"/>
    </row>
    <row r="74" customFormat="false" ht="15.75" hidden="false" customHeight="true" outlineLevel="0" collapsed="false">
      <c r="A74" s="193" t="s">
        <v>7</v>
      </c>
      <c r="B74" s="194"/>
      <c r="C74" s="195"/>
      <c r="D74" s="195"/>
      <c r="E74" s="195" t="n">
        <f aca="false">E73</f>
        <v>0</v>
      </c>
      <c r="F74" s="196" t="n">
        <f aca="false">F73</f>
        <v>0</v>
      </c>
      <c r="AMF74" s="116"/>
    </row>
    <row r="75" customFormat="false" ht="15.75" hidden="false" customHeight="true" outlineLevel="0" collapsed="false">
      <c r="A75" s="148" t="s">
        <v>661</v>
      </c>
      <c r="B75" s="149" t="s">
        <v>633</v>
      </c>
      <c r="C75" s="149" t="s">
        <v>610</v>
      </c>
      <c r="D75" s="149" t="s">
        <v>610</v>
      </c>
      <c r="E75" s="149" t="s">
        <v>610</v>
      </c>
      <c r="F75" s="150" t="s">
        <v>610</v>
      </c>
      <c r="AMF75" s="116"/>
    </row>
    <row r="76" customFormat="false" ht="15.75" hidden="false" customHeight="true" outlineLevel="0" collapsed="false">
      <c r="A76" s="169" t="s">
        <v>651</v>
      </c>
      <c r="B76" s="182" t="n">
        <f aca="false">B71</f>
        <v>0.105907637139418</v>
      </c>
      <c r="C76" s="183" t="n">
        <f aca="false">C71</f>
        <v>302.412764458251</v>
      </c>
      <c r="D76" s="183" t="n">
        <f aca="false">D71</f>
        <v>439.784460976329</v>
      </c>
      <c r="E76" s="183" t="n">
        <f aca="false">E71</f>
        <v>905.353372842813</v>
      </c>
      <c r="F76" s="184" t="n">
        <f aca="false">F71</f>
        <v>1049.00618705616</v>
      </c>
      <c r="AMF76" s="116"/>
    </row>
    <row r="77" customFormat="false" ht="15.75" hidden="false" customHeight="true" outlineLevel="0" collapsed="false">
      <c r="A77" s="169" t="s">
        <v>659</v>
      </c>
      <c r="B77" s="182" t="n">
        <f aca="false">B73</f>
        <v>0</v>
      </c>
      <c r="C77" s="183" t="n">
        <f aca="false">C73</f>
        <v>0</v>
      </c>
      <c r="D77" s="183" t="n">
        <f aca="false">D73</f>
        <v>0</v>
      </c>
      <c r="E77" s="183" t="n">
        <f aca="false">E74</f>
        <v>0</v>
      </c>
      <c r="F77" s="184" t="n">
        <f aca="false">F73</f>
        <v>0</v>
      </c>
      <c r="G77" s="197"/>
      <c r="AMF77" s="116"/>
    </row>
    <row r="78" customFormat="false" ht="15.75" hidden="false" customHeight="true" outlineLevel="0" collapsed="false">
      <c r="A78" s="159" t="s">
        <v>7</v>
      </c>
      <c r="B78" s="160"/>
      <c r="C78" s="161" t="n">
        <f aca="false">SUM(C76:C77)</f>
        <v>302.412764458251</v>
      </c>
      <c r="D78" s="161" t="n">
        <f aca="false">SUM(D76:D77)</f>
        <v>439.784460976329</v>
      </c>
      <c r="E78" s="161" t="n">
        <f aca="false">SUM(E76:E77)</f>
        <v>905.353372842813</v>
      </c>
      <c r="F78" s="162" t="n">
        <f aca="false">SUM(F76:F77)</f>
        <v>1049.00618705616</v>
      </c>
      <c r="AMF78" s="116"/>
    </row>
    <row r="79" customFormat="false" ht="15.75" hidden="false" customHeight="true" outlineLevel="0" collapsed="false">
      <c r="A79" s="163"/>
      <c r="B79" s="164"/>
      <c r="C79" s="164"/>
      <c r="D79" s="164"/>
      <c r="E79" s="164"/>
      <c r="F79" s="165"/>
      <c r="AMF79" s="116"/>
    </row>
    <row r="80" customFormat="false" ht="15.75" hidden="false" customHeight="true" outlineLevel="0" collapsed="false">
      <c r="A80" s="147" t="s">
        <v>662</v>
      </c>
      <c r="B80" s="147"/>
      <c r="C80" s="147"/>
      <c r="D80" s="147"/>
      <c r="E80" s="147"/>
      <c r="F80" s="147"/>
      <c r="AMF80" s="116"/>
    </row>
    <row r="81" customFormat="false" ht="15.75" hidden="false" customHeight="true" outlineLevel="0" collapsed="false">
      <c r="A81" s="148" t="s">
        <v>663</v>
      </c>
      <c r="B81" s="149" t="s">
        <v>633</v>
      </c>
      <c r="C81" s="149" t="s">
        <v>610</v>
      </c>
      <c r="D81" s="149" t="s">
        <v>610</v>
      </c>
      <c r="E81" s="149" t="s">
        <v>610</v>
      </c>
      <c r="F81" s="150" t="s">
        <v>610</v>
      </c>
      <c r="AMF81" s="116"/>
    </row>
    <row r="82" customFormat="false" ht="15.75" hidden="false" customHeight="true" outlineLevel="0" collapsed="false">
      <c r="A82" s="169" t="s">
        <v>664</v>
      </c>
      <c r="B82" s="198" t="n">
        <f aca="false">Insumos!F12</f>
        <v>86.8083333333333</v>
      </c>
      <c r="C82" s="154" t="n">
        <f aca="false">Insumos!$F$12</f>
        <v>86.8083333333333</v>
      </c>
      <c r="D82" s="154" t="n">
        <f aca="false">Insumos!$F$12</f>
        <v>86.8083333333333</v>
      </c>
      <c r="E82" s="154" t="n">
        <f aca="false">B82*2</f>
        <v>173.616666666667</v>
      </c>
      <c r="F82" s="155" t="n">
        <f aca="false">B82*2</f>
        <v>173.616666666667</v>
      </c>
      <c r="AMF82" s="116"/>
    </row>
    <row r="83" customFormat="false" ht="15.75" hidden="false" customHeight="true" outlineLevel="0" collapsed="false">
      <c r="A83" s="199" t="s">
        <v>665</v>
      </c>
      <c r="B83" s="198"/>
      <c r="C83" s="154"/>
      <c r="D83" s="154"/>
      <c r="E83" s="154"/>
      <c r="F83" s="155"/>
      <c r="AMF83" s="116"/>
    </row>
    <row r="84" customFormat="false" ht="15.75" hidden="false" customHeight="true" outlineLevel="0" collapsed="false">
      <c r="A84" s="199" t="s">
        <v>666</v>
      </c>
      <c r="B84" s="200" t="n">
        <f aca="false">Insumos!F26</f>
        <v>13.7157173913044</v>
      </c>
      <c r="C84" s="154" t="n">
        <f aca="false">Insumos!$F$26</f>
        <v>13.7157173913044</v>
      </c>
      <c r="D84" s="154" t="n">
        <f aca="false">Insumos!$F$26</f>
        <v>13.7157173913044</v>
      </c>
      <c r="E84" s="154" t="n">
        <f aca="false">Insumos!$F$26</f>
        <v>13.7157173913044</v>
      </c>
      <c r="F84" s="155" t="n">
        <f aca="false">Insumos!$F$26</f>
        <v>13.7157173913044</v>
      </c>
      <c r="AMF84" s="116"/>
    </row>
    <row r="85" customFormat="false" ht="15.75" hidden="false" customHeight="true" outlineLevel="0" collapsed="false">
      <c r="A85" s="199" t="s">
        <v>667</v>
      </c>
      <c r="B85" s="198"/>
      <c r="C85" s="154"/>
      <c r="D85" s="154"/>
      <c r="E85" s="154"/>
      <c r="F85" s="155"/>
      <c r="AMF85" s="116"/>
    </row>
    <row r="86" customFormat="false" ht="15.75" hidden="false" customHeight="true" outlineLevel="0" collapsed="false">
      <c r="A86" s="199" t="s">
        <v>668</v>
      </c>
      <c r="B86" s="157"/>
      <c r="C86" s="154"/>
      <c r="D86" s="154"/>
      <c r="E86" s="154"/>
      <c r="F86" s="155"/>
      <c r="AMF86" s="116"/>
    </row>
    <row r="87" customFormat="false" ht="15.75" hidden="false" customHeight="true" outlineLevel="0" collapsed="false">
      <c r="A87" s="199" t="s">
        <v>669</v>
      </c>
      <c r="B87" s="198"/>
      <c r="C87" s="154"/>
      <c r="D87" s="154"/>
      <c r="E87" s="154"/>
      <c r="F87" s="155"/>
      <c r="AMF87" s="116"/>
    </row>
    <row r="88" customFormat="false" ht="15.75" hidden="false" customHeight="true" outlineLevel="0" collapsed="false">
      <c r="A88" s="199" t="s">
        <v>670</v>
      </c>
      <c r="B88" s="198"/>
      <c r="C88" s="154"/>
      <c r="D88" s="154"/>
      <c r="E88" s="154"/>
      <c r="F88" s="155"/>
      <c r="AMF88" s="116"/>
    </row>
    <row r="89" customFormat="false" ht="15.75" hidden="false" customHeight="true" outlineLevel="0" collapsed="false">
      <c r="A89" s="193" t="s">
        <v>7</v>
      </c>
      <c r="B89" s="201"/>
      <c r="C89" s="195" t="n">
        <f aca="false">SUM(C82:C88)</f>
        <v>100.524050724638</v>
      </c>
      <c r="D89" s="195" t="n">
        <f aca="false">SUM(D82:D88)</f>
        <v>100.524050724638</v>
      </c>
      <c r="E89" s="195" t="n">
        <f aca="false">SUM(E82:E88)</f>
        <v>187.332384057971</v>
      </c>
      <c r="F89" s="196" t="n">
        <f aca="false">SUM(F82:F88)</f>
        <v>187.332384057971</v>
      </c>
      <c r="AMF89" s="116"/>
    </row>
    <row r="90" customFormat="false" ht="15.75" hidden="false" customHeight="true" outlineLevel="0" collapsed="false">
      <c r="A90" s="202"/>
      <c r="B90" s="203"/>
      <c r="C90" s="164"/>
      <c r="D90" s="164"/>
      <c r="E90" s="164"/>
      <c r="F90" s="165"/>
      <c r="AMF90" s="116"/>
    </row>
    <row r="91" customFormat="false" ht="15.75" hidden="false" customHeight="true" outlineLevel="0" collapsed="false">
      <c r="A91" s="147" t="s">
        <v>671</v>
      </c>
      <c r="B91" s="147"/>
      <c r="C91" s="147"/>
      <c r="D91" s="147"/>
      <c r="E91" s="147"/>
      <c r="F91" s="147"/>
      <c r="AMF91" s="116"/>
    </row>
    <row r="92" customFormat="false" ht="15.75" hidden="false" customHeight="true" outlineLevel="0" collapsed="false">
      <c r="A92" s="148" t="s">
        <v>672</v>
      </c>
      <c r="B92" s="149" t="s">
        <v>609</v>
      </c>
      <c r="C92" s="149" t="s">
        <v>610</v>
      </c>
      <c r="D92" s="149" t="s">
        <v>610</v>
      </c>
      <c r="E92" s="149" t="s">
        <v>610</v>
      </c>
      <c r="F92" s="150" t="s">
        <v>610</v>
      </c>
      <c r="AMF92" s="116"/>
    </row>
    <row r="93" customFormat="false" ht="15.75" hidden="false" customHeight="true" outlineLevel="0" collapsed="false">
      <c r="A93" s="152" t="s">
        <v>673</v>
      </c>
      <c r="B93" s="157" t="n">
        <f aca="false">MC!B75</f>
        <v>0.03</v>
      </c>
      <c r="C93" s="174" t="n">
        <f aca="false">(C$21+C$51+C$61+C$78+C$89)*$B$93</f>
        <v>114.254265099931</v>
      </c>
      <c r="D93" s="174" t="n">
        <f aca="false">(D$21+D$51+D$61+D$78+D$89)*$B$93</f>
        <v>156.15530451214</v>
      </c>
      <c r="E93" s="174" t="n">
        <f aca="false">(E$21+E$51+E$61+E$78+E$89)*$B$93</f>
        <v>307.93002132369</v>
      </c>
      <c r="F93" s="175" t="n">
        <f aca="false">(F$21+F$51+F$61+F$78+F$89)*$B$93</f>
        <v>352.931519409983</v>
      </c>
      <c r="AMF93" s="116"/>
    </row>
    <row r="94" customFormat="false" ht="15.75" hidden="false" customHeight="true" outlineLevel="0" collapsed="false">
      <c r="A94" s="152" t="s">
        <v>674</v>
      </c>
      <c r="B94" s="157" t="n">
        <f aca="false">MC!B76</f>
        <v>0.0679</v>
      </c>
      <c r="C94" s="174" t="n">
        <f aca="false">(C$21+C$51+C$61+C$78+C$89+C$93)*$B$94</f>
        <v>266.353351276463</v>
      </c>
      <c r="D94" s="174" t="n">
        <f aca="false">(D$21+D$51+D$61+D$78+D$89+D$93)*$B$94</f>
        <v>364.034451055518</v>
      </c>
      <c r="E94" s="174" t="n">
        <f aca="false">(E$21+E$51+E$61+E$78+E$89+E$93)*$B$94</f>
        <v>717.856730043831</v>
      </c>
      <c r="F94" s="175" t="n">
        <f aca="false">(F$21+F$51+F$61+F$78+F$89+F$93)*$B$94</f>
        <v>822.765722432532</v>
      </c>
      <c r="AMF94" s="116"/>
    </row>
    <row r="95" customFormat="false" ht="15.75" hidden="false" customHeight="true" outlineLevel="0" collapsed="false">
      <c r="A95" s="204" t="s">
        <v>675</v>
      </c>
      <c r="B95" s="205" t="n">
        <f aca="false">B96+B97</f>
        <v>0.0565</v>
      </c>
      <c r="C95" s="206" t="n">
        <f aca="false">((C$21+C$51+C$61+C$78+C$89+C$93+C$94)/(1-($B$95)))*$B$95</f>
        <v>250.856593813958</v>
      </c>
      <c r="D95" s="206" t="n">
        <f aca="false">((D$21+D$51+D$61+D$78+D$89+D$93+D$94)/(1-($B$95)))*$B$95</f>
        <v>342.854490041445</v>
      </c>
      <c r="E95" s="206" t="n">
        <f aca="false">((E$21+E$51+E$61+E$78+E$89+E$93+E$94)/(1-($B$95)))*$B$95</f>
        <v>676.09096443584</v>
      </c>
      <c r="F95" s="207" t="n">
        <f aca="false">((F$21+F$51+F$61+F$78+F$89+F$93+F$94)/(1-($B$95)))*$B$95</f>
        <v>774.896225811237</v>
      </c>
      <c r="G95" s="156"/>
      <c r="AMF95" s="116"/>
    </row>
    <row r="96" customFormat="false" ht="15.75" hidden="false" customHeight="true" outlineLevel="0" collapsed="false">
      <c r="A96" s="152" t="s">
        <v>676</v>
      </c>
      <c r="B96" s="157" t="n">
        <f aca="false">0.0065+0.03</f>
        <v>0.0365</v>
      </c>
      <c r="C96" s="208" t="n">
        <f aca="false">((C$21+C$51+C$61+C$78+C$89+C$93+C$94)/(1-($B$95)))*$B$96</f>
        <v>162.057799543531</v>
      </c>
      <c r="D96" s="208" t="n">
        <f aca="false">((D$21+D$51+D$61+D$78+D$89+D$93+D$94)/(1-($B$95)))*$B$96</f>
        <v>221.490068787836</v>
      </c>
      <c r="E96" s="208" t="n">
        <f aca="false">((E$21+E$51+E$61+E$78+E$89+E$93+E$94)/(1-($B$95)))*$B$96</f>
        <v>436.766729237312</v>
      </c>
      <c r="F96" s="209" t="n">
        <f aca="false">((F$21+F$51+F$61+F$78+F$89+F$93+F$94)/(1-($B$95)))*$B$96</f>
        <v>500.596676851507</v>
      </c>
      <c r="AMF96" s="116"/>
    </row>
    <row r="97" customFormat="false" ht="15.75" hidden="false" customHeight="true" outlineLevel="0" collapsed="false">
      <c r="A97" s="152" t="s">
        <v>677</v>
      </c>
      <c r="B97" s="157" t="n">
        <v>0.02</v>
      </c>
      <c r="C97" s="208" t="n">
        <f aca="false">((C$21+C$51+C$61+C$78+C$89+C$93+C$94)/(1-($B$95)))*$B$97</f>
        <v>88.7987942704278</v>
      </c>
      <c r="D97" s="208" t="n">
        <f aca="false">((D$21+D$51+D$61+D$78+D$89+D$93+D$94)/(1-($B$95)))*$B$97</f>
        <v>121.364421253609</v>
      </c>
      <c r="E97" s="208" t="n">
        <f aca="false">((E$21+E$51+E$61+E$78+E$89+E$93+E$94)/(1-($B$95)))*$B$97</f>
        <v>239.324235198527</v>
      </c>
      <c r="F97" s="209" t="n">
        <f aca="false">((F$21+F$51+F$61+F$78+F$89+F$93+F$94)/(1-($B$95)))*$B$97</f>
        <v>274.29954895973</v>
      </c>
      <c r="AMF97" s="116"/>
    </row>
    <row r="98" customFormat="false" ht="15.75" hidden="false" customHeight="true" outlineLevel="0" collapsed="false">
      <c r="A98" s="204" t="s">
        <v>678</v>
      </c>
      <c r="B98" s="205" t="n">
        <f aca="false">B99+B100</f>
        <v>0.0615</v>
      </c>
      <c r="C98" s="206" t="n">
        <f aca="false">((C$21+C$51+C$61+C$78+C$89+C$93+C$94)/(1-($B$98)))*$B$98</f>
        <v>274.511040875873</v>
      </c>
      <c r="D98" s="206" t="n">
        <f aca="false">((D$21+D$51+D$61+D$78+D$89+D$93+D$94)/(1-($B$98)))*$B$98</f>
        <v>375.183851057324</v>
      </c>
      <c r="E98" s="206" t="n">
        <f aca="false">((E$21+E$51+E$61+E$78+E$89+E$93+E$94)/(1-($B$98)))*$B$98</f>
        <v>739.842758575032</v>
      </c>
      <c r="F98" s="207" t="n">
        <f aca="false">((F$21+F$51+F$61+F$78+F$89+F$93+F$94)/(1-($B$98)))*$B$98</f>
        <v>847.96483235352</v>
      </c>
      <c r="AMF98" s="116"/>
    </row>
    <row r="99" customFormat="false" ht="15.75" hidden="false" customHeight="true" outlineLevel="0" collapsed="false">
      <c r="A99" s="152" t="s">
        <v>676</v>
      </c>
      <c r="B99" s="157" t="n">
        <f aca="false">0.0065+0.03</f>
        <v>0.0365</v>
      </c>
      <c r="C99" s="208" t="n">
        <f aca="false">((C$21+C$51+C$61+C$78+C$89+C$93+C$94)/(1-($B$98)))*$B$99</f>
        <v>162.921186861291</v>
      </c>
      <c r="D99" s="208" t="n">
        <f aca="false">((D$21+D$51+D$61+D$78+D$89+D$93+D$94)/(1-($B$98)))*$B$99</f>
        <v>222.670090464916</v>
      </c>
      <c r="E99" s="208" t="n">
        <f aca="false">((E$21+E$51+E$61+E$78+E$89+E$93+E$94)/(1-($B$98)))*$B$99</f>
        <v>439.093669723393</v>
      </c>
      <c r="F99" s="209" t="n">
        <f aca="false">((F$21+F$51+F$61+F$78+F$89+F$93+F$94)/(1-($B$98)))*$B$99</f>
        <v>503.263680990301</v>
      </c>
      <c r="AMF99" s="116"/>
    </row>
    <row r="100" customFormat="false" ht="15.75" hidden="false" customHeight="true" outlineLevel="0" collapsed="false">
      <c r="A100" s="152" t="s">
        <v>677</v>
      </c>
      <c r="B100" s="157" t="n">
        <v>0.025</v>
      </c>
      <c r="C100" s="208" t="n">
        <f aca="false">((C$21+C$51+C$61+C$78+C$89+C$93+C$94)/(1-($B$98)))*$B$100</f>
        <v>111.589854014583</v>
      </c>
      <c r="D100" s="208" t="n">
        <f aca="false">((D$21+D$51+D$61+D$78+D$89+D$93+D$94)/(1-($B$98)))*$B$100</f>
        <v>152.513760592408</v>
      </c>
      <c r="E100" s="208" t="n">
        <f aca="false">((E$21+E$51+E$61+E$78+E$89+E$93+E$94)/(1-($B$98)))*$B$100</f>
        <v>300.749088851639</v>
      </c>
      <c r="F100" s="209" t="n">
        <f aca="false">((F$21+F$51+F$61+F$78+F$89+F$93+F$94)/(1-($B$98)))*$B$100</f>
        <v>344.70115136322</v>
      </c>
      <c r="AMF100" s="116"/>
    </row>
    <row r="101" customFormat="false" ht="15.75" hidden="false" customHeight="true" outlineLevel="0" collapsed="false">
      <c r="A101" s="204" t="s">
        <v>679</v>
      </c>
      <c r="B101" s="205" t="n">
        <f aca="false">B102+B103</f>
        <v>0.0665</v>
      </c>
      <c r="C101" s="206" t="n">
        <f aca="false">((C$21+C$51+C$61+C$78+C$89+C$93+C$94)/(1-($B$101)))*$B$101</f>
        <v>298.41888319287</v>
      </c>
      <c r="D101" s="206" t="n">
        <f aca="false">((D$21+D$51+D$61+D$78+D$89+D$93+D$94)/(1-($B$101)))*$B$101</f>
        <v>407.859536240486</v>
      </c>
      <c r="E101" s="206" t="n">
        <f aca="false">((E$21+E$51+E$61+E$78+E$89+E$93+E$94)/(1-($B$101)))*$B$101</f>
        <v>804.277485699111</v>
      </c>
      <c r="F101" s="207" t="n">
        <f aca="false">((F$21+F$51+F$61+F$78+F$89+F$93+F$94)/(1-($B$101)))*$B$101</f>
        <v>921.816177048372</v>
      </c>
      <c r="G101" s="156"/>
      <c r="AMF101" s="116"/>
    </row>
    <row r="102" customFormat="false" ht="15.75" hidden="false" customHeight="true" outlineLevel="0" collapsed="false">
      <c r="A102" s="152" t="s">
        <v>676</v>
      </c>
      <c r="B102" s="157" t="n">
        <f aca="false">B96</f>
        <v>0.0365</v>
      </c>
      <c r="C102" s="208" t="n">
        <f aca="false">((C$21+C$51+C$61+C$78+C$89+C$93+C$94)/(1-($B$101)))*$B$102</f>
        <v>163.793823105861</v>
      </c>
      <c r="D102" s="208" t="n">
        <f aca="false">((D$21+D$51+D$61+D$78+D$89+D$93+D$94)/(1-($B$101)))*$B$102</f>
        <v>223.862752974101</v>
      </c>
      <c r="E102" s="208" t="n">
        <f aca="false">((E$21+E$51+E$61+E$78+E$89+E$93+E$94)/(1-($B$101)))*$B$102</f>
        <v>441.445537263422</v>
      </c>
      <c r="F102" s="209" t="n">
        <f aca="false">((F$21+F$51+F$61+F$78+F$89+F$93+F$94)/(1-($B$101)))*$B$102</f>
        <v>505.959255071663</v>
      </c>
      <c r="AMF102" s="116"/>
    </row>
    <row r="103" customFormat="false" ht="15.75" hidden="false" customHeight="true" outlineLevel="0" collapsed="false">
      <c r="A103" s="152" t="s">
        <v>677</v>
      </c>
      <c r="B103" s="157" t="n">
        <v>0.03</v>
      </c>
      <c r="C103" s="208" t="n">
        <f aca="false">((C$21+C$51+C$61+C$78+C$89+C$93+C$94)/(1-($B$101)))*$B$103</f>
        <v>134.625060087009</v>
      </c>
      <c r="D103" s="208" t="n">
        <f aca="false">((D$21+D$51+D$61+D$78+D$89+D$93+D$94)/(1-($B$101)))*$B$103</f>
        <v>183.996783266384</v>
      </c>
      <c r="E103" s="208" t="n">
        <f aca="false">((E$21+E$51+E$61+E$78+E$89+E$93+E$94)/(1-($B$101)))*$B$103</f>
        <v>362.831948435689</v>
      </c>
      <c r="F103" s="209" t="n">
        <f aca="false">((F$21+F$51+F$61+F$78+F$89+F$93+F$94)/(1-($B$101)))*$B$103</f>
        <v>415.856921976709</v>
      </c>
      <c r="AMF103" s="116"/>
    </row>
    <row r="104" customFormat="false" ht="15.75" hidden="false" customHeight="true" outlineLevel="0" collapsed="false">
      <c r="A104" s="204" t="s">
        <v>680</v>
      </c>
      <c r="B104" s="205" t="n">
        <f aca="false">B105+B106</f>
        <v>0.0715</v>
      </c>
      <c r="C104" s="206" t="n">
        <f aca="false">((C$21+C$51+C$61+C$78+C$89+C$93+C$94)/(1-($B$104)))*$B$104</f>
        <v>322.58421438781</v>
      </c>
      <c r="D104" s="206" t="n">
        <f aca="false">((D$21+D$51+D$61+D$78+D$89+D$93+D$94)/(1-($B$104)))*$B$104</f>
        <v>440.887140488625</v>
      </c>
      <c r="E104" s="206" t="n">
        <f aca="false">((E$21+E$51+E$61+E$78+E$89+E$93+E$94)/(1-($B$104)))*$B$104</f>
        <v>869.406178651128</v>
      </c>
      <c r="F104" s="207" t="n">
        <f aca="false">((F$21+F$51+F$61+F$78+F$89+F$93+F$94)/(1-($B$104)))*$B$104</f>
        <v>996.462905100196</v>
      </c>
      <c r="G104" s="156"/>
      <c r="AMF104" s="116"/>
    </row>
    <row r="105" customFormat="false" ht="15.75" hidden="false" customHeight="true" outlineLevel="0" collapsed="false">
      <c r="A105" s="152" t="s">
        <v>676</v>
      </c>
      <c r="B105" s="157" t="n">
        <f aca="false">B96</f>
        <v>0.0365</v>
      </c>
      <c r="C105" s="208" t="n">
        <f aca="false">((C$21+C$51+C$61+C$78+C$89+C$93+C$94)/(1-($B$104)))*$B$105</f>
        <v>164.675857694476</v>
      </c>
      <c r="D105" s="208" t="n">
        <f aca="false">((D$21+D$51+D$61+D$78+D$89+D$93+D$94)/(1-($B$104)))*$B$105</f>
        <v>225.068260529158</v>
      </c>
      <c r="E105" s="208" t="n">
        <f aca="false">((E$21+E$51+E$61+E$78+E$89+E$93+E$94)/(1-($B$104)))*$B$105</f>
        <v>443.82273455617</v>
      </c>
      <c r="F105" s="209" t="n">
        <f aca="false">((F$21+F$51+F$61+F$78+F$89+F$93+F$94)/(1-($B$104)))*$B$105</f>
        <v>508.683860645554</v>
      </c>
      <c r="AMF105" s="116"/>
    </row>
    <row r="106" customFormat="false" ht="15.75" hidden="false" customHeight="true" outlineLevel="0" collapsed="false">
      <c r="A106" s="152" t="s">
        <v>677</v>
      </c>
      <c r="B106" s="157" t="n">
        <v>0.035</v>
      </c>
      <c r="C106" s="208" t="n">
        <f aca="false">((C$21+C$51+C$61+C$78+C$89+C$93+C$94)/(1-($B$104)))*$B$106</f>
        <v>157.908356693333</v>
      </c>
      <c r="D106" s="208" t="n">
        <f aca="false">((D$21+D$51+D$61+D$78+D$89+D$93+D$94)/(1-($B$104)))*$B$106</f>
        <v>215.818879959467</v>
      </c>
      <c r="E106" s="208" t="n">
        <f aca="false">((E$21+E$51+E$61+E$78+E$89+E$93+E$94)/(1-($B$104)))*$B$106</f>
        <v>425.583444094958</v>
      </c>
      <c r="F106" s="209" t="n">
        <f aca="false">((F$21+F$51+F$61+F$78+F$89+F$93+F$94)/(1-($B$104)))*$B$106</f>
        <v>487.779044454641</v>
      </c>
      <c r="AMF106" s="116"/>
    </row>
    <row r="107" customFormat="false" ht="15.75" hidden="false" customHeight="true" outlineLevel="0" collapsed="false">
      <c r="A107" s="204" t="s">
        <v>681</v>
      </c>
      <c r="B107" s="205" t="n">
        <f aca="false">B108+B109</f>
        <v>0.0765</v>
      </c>
      <c r="C107" s="206" t="n">
        <f aca="false">((C$21+C$51+C$61+C$78+C$89+C$93+C$94)/(1-($B$107)))*$B$107</f>
        <v>347.011216738082</v>
      </c>
      <c r="D107" s="206" t="n">
        <f aca="false">((D$21+D$51+D$61+D$78+D$89+D$93+D$94)/(1-($B$107)))*$B$107</f>
        <v>474.272379866685</v>
      </c>
      <c r="E107" s="206" t="n">
        <f aca="false">((E$21+E$51+E$61+E$78+E$89+E$93+E$94)/(1-($B$107)))*$B$107</f>
        <v>935.240109209556</v>
      </c>
      <c r="F107" s="207" t="n">
        <f aca="false">((F$21+F$51+F$61+F$78+F$89+F$93+F$94)/(1-($B$107)))*$B$107</f>
        <v>1071.91793556731</v>
      </c>
      <c r="G107" s="156"/>
      <c r="H107" s="156"/>
      <c r="I107" s="156"/>
      <c r="J107" s="156"/>
      <c r="AMF107" s="116"/>
    </row>
    <row r="108" customFormat="false" ht="15.75" hidden="false" customHeight="true" outlineLevel="0" collapsed="false">
      <c r="A108" s="152" t="s">
        <v>676</v>
      </c>
      <c r="B108" s="157" t="n">
        <f aca="false">B99</f>
        <v>0.0365</v>
      </c>
      <c r="C108" s="208" t="n">
        <f aca="false">((C$21+C$51+C$61+C$78+C$89+C$93+C$94)/(1-($B$107)))*$B$108</f>
        <v>165.567443280261</v>
      </c>
      <c r="D108" s="208" t="n">
        <f aca="false">((D$21+D$51+D$61+D$78+D$89+D$93+D$94)/(1-($B$107)))*$B$108</f>
        <v>226.286821766457</v>
      </c>
      <c r="E108" s="208" t="n">
        <f aca="false">((E$21+E$51+E$61+E$78+E$89+E$93+E$94)/(1-($B$107)))*$B$108</f>
        <v>446.225673021553</v>
      </c>
      <c r="F108" s="209" t="n">
        <f aca="false">((F$21+F$51+F$61+F$78+F$89+F$93+F$94)/(1-($B$107)))*$B$108</f>
        <v>511.437969257604</v>
      </c>
      <c r="H108" s="156"/>
      <c r="AMF108" s="116"/>
    </row>
    <row r="109" customFormat="false" ht="15.75" hidden="false" customHeight="true" outlineLevel="0" collapsed="false">
      <c r="A109" s="152" t="s">
        <v>677</v>
      </c>
      <c r="B109" s="157" t="n">
        <v>0.04</v>
      </c>
      <c r="C109" s="208" t="n">
        <f aca="false">((C$21+C$51+C$61+C$78+C$89+C$93+C$94)/(1-($B$107)))*$B$109</f>
        <v>181.443773457821</v>
      </c>
      <c r="D109" s="208" t="n">
        <f aca="false">((D$21+D$51+D$61+D$78+D$89+D$93+D$94)/(1-($B$107)))*$B$109</f>
        <v>247.985558100227</v>
      </c>
      <c r="E109" s="208" t="n">
        <f aca="false">((E$21+E$51+E$61+E$78+E$89+E$93+E$94)/(1-($B$107)))*$B$109</f>
        <v>489.014436188003</v>
      </c>
      <c r="F109" s="209" t="n">
        <f aca="false">((F$21+F$51+F$61+F$78+F$89+F$93+F$94)/(1-($B$107)))*$B$109</f>
        <v>560.479966309703</v>
      </c>
      <c r="AMF109" s="116"/>
    </row>
    <row r="110" customFormat="false" ht="15.75" hidden="false" customHeight="true" outlineLevel="0" collapsed="false">
      <c r="A110" s="204" t="s">
        <v>682</v>
      </c>
      <c r="B110" s="205" t="n">
        <f aca="false">B111+B112</f>
        <v>0.0865</v>
      </c>
      <c r="C110" s="206" t="n">
        <f aca="false">((C$21+C$51+C$61+C$78+C$89+C$93+C$94)/(1-($B$110)))*$B$110</f>
        <v>396.667421844218</v>
      </c>
      <c r="D110" s="206" t="n">
        <f aca="false">((D$21+D$51+D$61+D$78+D$89+D$93+D$94)/(1-($B$110)))*$B$110</f>
        <v>542.139254004678</v>
      </c>
      <c r="E110" s="206" t="n">
        <f aca="false">((E$21+E$51+E$61+E$78+E$89+E$93+E$94)/(1-($B$110)))*$B$110</f>
        <v>1069.0700041707</v>
      </c>
      <c r="F110" s="207" t="n">
        <f aca="false">((F$21+F$51+F$61+F$78+F$89+F$93+F$94)/(1-($B$110)))*$B$110</f>
        <v>1225.30599421802</v>
      </c>
      <c r="G110" s="156"/>
      <c r="AMF110" s="116"/>
    </row>
    <row r="111" customFormat="false" ht="15.75" hidden="false" customHeight="true" outlineLevel="0" collapsed="false">
      <c r="A111" s="152" t="s">
        <v>676</v>
      </c>
      <c r="B111" s="157" t="n">
        <f aca="false">B96</f>
        <v>0.0365</v>
      </c>
      <c r="C111" s="208" t="n">
        <f aca="false">((C$21+C$51+C$61+C$78+C$89+C$93+C$94)/(1-($B$110)))*$B$111</f>
        <v>167.379894766635</v>
      </c>
      <c r="D111" s="208" t="n">
        <f aca="false">((D$21+D$51+D$61+D$78+D$89+D$93+D$94)/(1-($B$110)))*$B$111</f>
        <v>228.763962672494</v>
      </c>
      <c r="E111" s="208" t="n">
        <f aca="false">((E$21+E$51+E$61+E$78+E$89+E$93+E$94)/(1-($B$110)))*$B$111</f>
        <v>451.110464187634</v>
      </c>
      <c r="F111" s="209" t="n">
        <f aca="false">((F$21+F$51+F$61+F$78+F$89+F$93+F$94)/(1-($B$110)))*$B$111</f>
        <v>517.036633398355</v>
      </c>
      <c r="AMF111" s="116"/>
    </row>
    <row r="112" customFormat="false" ht="15.75" hidden="false" customHeight="true" outlineLevel="0" collapsed="false">
      <c r="A112" s="152" t="s">
        <v>677</v>
      </c>
      <c r="B112" s="157" t="n">
        <v>0.05</v>
      </c>
      <c r="C112" s="208" t="n">
        <f aca="false">((C$21+C$51+C$61+C$78+C$89+C$93+C$94)/(1-($B$110)))*$B$112</f>
        <v>229.287527077582</v>
      </c>
      <c r="D112" s="208" t="n">
        <f aca="false">((D$21+D$51+D$61+D$78+D$89+D$93+D$94)/(1-($B$110)))*$B$112</f>
        <v>313.375291332184</v>
      </c>
      <c r="E112" s="208" t="n">
        <f aca="false">((E$21+E$51+E$61+E$78+E$89+E$93+E$94)/(1-($B$110)))*$B$112</f>
        <v>617.959539983061</v>
      </c>
      <c r="F112" s="209" t="n">
        <f aca="false">((F$21+F$51+F$61+F$78+F$89+F$93+F$94)/(1-($B$110)))*$B$112</f>
        <v>708.269360819664</v>
      </c>
      <c r="AMF112" s="116"/>
    </row>
    <row r="113" customFormat="false" ht="15.75" hidden="false" customHeight="true" outlineLevel="0" collapsed="false">
      <c r="A113" s="210" t="s">
        <v>683</v>
      </c>
      <c r="B113" s="211" t="n">
        <f aca="false">B97</f>
        <v>0.02</v>
      </c>
      <c r="C113" s="212" t="n">
        <f aca="false">C$93+C$94+C$95</f>
        <v>631.464210190352</v>
      </c>
      <c r="D113" s="212" t="n">
        <f aca="false">D$93+D$94+D$95</f>
        <v>863.044245609103</v>
      </c>
      <c r="E113" s="212" t="n">
        <f aca="false">E$93+E$94+E$95</f>
        <v>1701.87771580336</v>
      </c>
      <c r="F113" s="213" t="n">
        <f aca="false">F$93+F$94+F$95</f>
        <v>1950.59346765375</v>
      </c>
      <c r="AMF113" s="116"/>
    </row>
    <row r="114" customFormat="false" ht="15.75" hidden="false" customHeight="true" outlineLevel="0" collapsed="false">
      <c r="A114" s="210"/>
      <c r="B114" s="211" t="n">
        <f aca="false">B100</f>
        <v>0.025</v>
      </c>
      <c r="C114" s="212" t="n">
        <f aca="false">C$93+C$94+C$98</f>
        <v>655.118657252267</v>
      </c>
      <c r="D114" s="212" t="n">
        <f aca="false">D$93+D$94+D$98</f>
        <v>895.373606624982</v>
      </c>
      <c r="E114" s="212" t="n">
        <f aca="false">E$93+E$94+E$98</f>
        <v>1765.62950994255</v>
      </c>
      <c r="F114" s="213" t="n">
        <f aca="false">F$93+F$94+F$98</f>
        <v>2023.66207419603</v>
      </c>
      <c r="AMF114" s="116"/>
    </row>
    <row r="115" customFormat="false" ht="15.75" hidden="false" customHeight="true" outlineLevel="0" collapsed="false">
      <c r="A115" s="210"/>
      <c r="B115" s="211" t="n">
        <f aca="false">B103</f>
        <v>0.03</v>
      </c>
      <c r="C115" s="212" t="n">
        <f aca="false">C$93+C$94+C$101</f>
        <v>679.026499569264</v>
      </c>
      <c r="D115" s="212" t="n">
        <f aca="false">D$93+D$94+D$101</f>
        <v>928.049291808144</v>
      </c>
      <c r="E115" s="212" t="n">
        <f aca="false">E$93+E$94+E$101</f>
        <v>1830.06423706663</v>
      </c>
      <c r="F115" s="213" t="n">
        <f aca="false">F$93+F$94+F$101</f>
        <v>2097.51341889089</v>
      </c>
      <c r="AMF115" s="116"/>
    </row>
    <row r="116" customFormat="false" ht="15.75" hidden="false" customHeight="true" outlineLevel="0" collapsed="false">
      <c r="A116" s="210"/>
      <c r="B116" s="211" t="n">
        <f aca="false">B106</f>
        <v>0.035</v>
      </c>
      <c r="C116" s="212" t="n">
        <f aca="false">C$93+C$94+C$104</f>
        <v>703.191830764204</v>
      </c>
      <c r="D116" s="212" t="n">
        <f aca="false">D$93+D$94+D$104</f>
        <v>961.076896056283</v>
      </c>
      <c r="E116" s="212" t="n">
        <f aca="false">E$93+E$94+E$104</f>
        <v>1895.19293001865</v>
      </c>
      <c r="F116" s="213" t="n">
        <f aca="false">F$93+F$94+F$104</f>
        <v>2172.16014694271</v>
      </c>
      <c r="AMF116" s="116"/>
    </row>
    <row r="117" customFormat="false" ht="15.75" hidden="false" customHeight="true" outlineLevel="0" collapsed="false">
      <c r="A117" s="210"/>
      <c r="B117" s="211" t="n">
        <f aca="false">B109</f>
        <v>0.04</v>
      </c>
      <c r="C117" s="212" t="n">
        <f aca="false">C$93+C$94+C$107</f>
        <v>727.618833114476</v>
      </c>
      <c r="D117" s="212" t="n">
        <f aca="false">D$93+D$94+D$107</f>
        <v>994.462135434343</v>
      </c>
      <c r="E117" s="212" t="n">
        <f aca="false">E$93+E$94+E$107</f>
        <v>1961.02686057708</v>
      </c>
      <c r="F117" s="213" t="n">
        <f aca="false">F$93+F$94+F$107</f>
        <v>2247.61517740982</v>
      </c>
      <c r="AMF117" s="116"/>
    </row>
    <row r="118" customFormat="false" ht="15.75" hidden="false" customHeight="true" outlineLevel="0" collapsed="false">
      <c r="A118" s="210"/>
      <c r="B118" s="211" t="n">
        <f aca="false">B112</f>
        <v>0.05</v>
      </c>
      <c r="C118" s="212" t="n">
        <f aca="false">C$93+C$94+C$110</f>
        <v>777.275038220611</v>
      </c>
      <c r="D118" s="212" t="n">
        <f aca="false">D$93+D$94+D$110</f>
        <v>1062.32900957234</v>
      </c>
      <c r="E118" s="212" t="n">
        <f aca="false">E$93+E$94+E$110</f>
        <v>2094.85675553822</v>
      </c>
      <c r="F118" s="213" t="n">
        <f aca="false">F$93+F$94+F$110</f>
        <v>2401.00323606053</v>
      </c>
      <c r="AMF118" s="116"/>
    </row>
    <row r="119" customFormat="false" ht="15.75" hidden="false" customHeight="true" outlineLevel="0" collapsed="false">
      <c r="A119" s="152" t="s">
        <v>684</v>
      </c>
      <c r="B119" s="214"/>
      <c r="C119" s="215"/>
      <c r="D119" s="215"/>
      <c r="E119" s="215"/>
      <c r="F119" s="216"/>
      <c r="AMF119" s="116"/>
    </row>
    <row r="120" customFormat="false" ht="15.75" hidden="false" customHeight="true" outlineLevel="0" collapsed="false">
      <c r="A120" s="193"/>
      <c r="B120" s="194"/>
      <c r="C120" s="195"/>
      <c r="D120" s="195"/>
      <c r="E120" s="195"/>
      <c r="F120" s="196"/>
      <c r="AMF120" s="116"/>
    </row>
    <row r="121" customFormat="false" ht="15.75" hidden="false" customHeight="true" outlineLevel="0" collapsed="false">
      <c r="A121" s="217"/>
      <c r="B121" s="217"/>
      <c r="C121" s="217"/>
      <c r="D121" s="217"/>
      <c r="E121" s="217"/>
      <c r="F121" s="217"/>
      <c r="AMF121" s="116"/>
    </row>
    <row r="122" customFormat="false" ht="15.75" hidden="false" customHeight="true" outlineLevel="0" collapsed="false">
      <c r="A122" s="218"/>
      <c r="B122" s="218"/>
      <c r="C122" s="218"/>
      <c r="D122" s="218"/>
      <c r="E122" s="218"/>
      <c r="F122" s="218"/>
      <c r="AMF122" s="116"/>
    </row>
    <row r="123" customFormat="false" ht="66" hidden="false" customHeight="true" outlineLevel="0" collapsed="false">
      <c r="A123" s="219" t="s">
        <v>685</v>
      </c>
      <c r="B123" s="219"/>
      <c r="C123" s="220" t="str">
        <f aca="false">C11</f>
        <v>Posto 30 horas semanais de segunda sexta DIURNO (1 Vigilante)</v>
      </c>
      <c r="D123" s="220" t="str">
        <f aca="false">D11</f>
        <v>Posto 44 horas semanais de segunda sexta DIURNO (1 vigilante)</v>
      </c>
      <c r="E123" s="220" t="str">
        <f aca="false">E11</f>
        <v>Posto 12 x 36 DIURNO de segunda a domingo (2 vigilantes)</v>
      </c>
      <c r="F123" s="221" t="str">
        <f aca="false">F11</f>
        <v>Posto 12 x 36 NOTURNO de segunda a domingo (2 vigilantes)</v>
      </c>
      <c r="AMF123" s="116"/>
    </row>
    <row r="124" customFormat="false" ht="15.75" hidden="false" customHeight="true" outlineLevel="0" collapsed="false">
      <c r="A124" s="222" t="s">
        <v>686</v>
      </c>
      <c r="B124" s="223" t="s">
        <v>2</v>
      </c>
      <c r="C124" s="224" t="s">
        <v>610</v>
      </c>
      <c r="D124" s="224" t="s">
        <v>610</v>
      </c>
      <c r="E124" s="224" t="s">
        <v>610</v>
      </c>
      <c r="F124" s="225" t="s">
        <v>610</v>
      </c>
      <c r="AMF124" s="116"/>
    </row>
    <row r="125" customFormat="false" ht="14.25" hidden="false" customHeight="true" outlineLevel="0" collapsed="false">
      <c r="A125" s="226" t="s">
        <v>687</v>
      </c>
      <c r="B125" s="227"/>
      <c r="C125" s="228" t="n">
        <f aca="false">C21</f>
        <v>1786.01333333333</v>
      </c>
      <c r="D125" s="228" t="n">
        <f aca="false">D21</f>
        <v>2604.10333333333</v>
      </c>
      <c r="E125" s="228" t="n">
        <f aca="false">E21</f>
        <v>5389.505</v>
      </c>
      <c r="F125" s="229" t="n">
        <f aca="false">F21</f>
        <v>6245.0214488</v>
      </c>
      <c r="AMF125" s="116"/>
    </row>
    <row r="126" customFormat="false" ht="14.25" hidden="false" customHeight="true" outlineLevel="0" collapsed="false">
      <c r="A126" s="226" t="s">
        <v>688</v>
      </c>
      <c r="B126" s="227"/>
      <c r="C126" s="228" t="n">
        <f aca="false">C51</f>
        <v>1502.54148148148</v>
      </c>
      <c r="D126" s="228" t="n">
        <f aca="false">D51</f>
        <v>1890.1962037037</v>
      </c>
      <c r="E126" s="228" t="n">
        <f aca="false">E51</f>
        <v>3442.37972222222</v>
      </c>
      <c r="F126" s="229" t="n">
        <f aca="false">F51</f>
        <v>3887.22406802222</v>
      </c>
      <c r="AMF126" s="116"/>
    </row>
    <row r="127" customFormat="false" ht="14.25" hidden="false" customHeight="true" outlineLevel="0" collapsed="false">
      <c r="A127" s="226" t="s">
        <v>689</v>
      </c>
      <c r="B127" s="227"/>
      <c r="C127" s="228" t="n">
        <f aca="false">C61</f>
        <v>116.983873333333</v>
      </c>
      <c r="D127" s="228" t="n">
        <f aca="false">D61</f>
        <v>170.568768333333</v>
      </c>
      <c r="E127" s="228" t="n">
        <f aca="false">E61</f>
        <v>339.763565</v>
      </c>
      <c r="F127" s="229" t="n">
        <f aca="false">F61</f>
        <v>395.7998923964</v>
      </c>
      <c r="AMF127" s="116"/>
    </row>
    <row r="128" customFormat="false" ht="14.25" hidden="false" customHeight="true" outlineLevel="0" collapsed="false">
      <c r="A128" s="226" t="s">
        <v>690</v>
      </c>
      <c r="B128" s="227"/>
      <c r="C128" s="228" t="n">
        <f aca="false">C78</f>
        <v>302.412764458251</v>
      </c>
      <c r="D128" s="228" t="n">
        <f aca="false">D78</f>
        <v>439.784460976329</v>
      </c>
      <c r="E128" s="228" t="n">
        <f aca="false">E78</f>
        <v>905.353372842813</v>
      </c>
      <c r="F128" s="229" t="n">
        <f aca="false">F78</f>
        <v>1049.00618705616</v>
      </c>
      <c r="AMF128" s="116"/>
    </row>
    <row r="129" customFormat="false" ht="15.75" hidden="false" customHeight="true" outlineLevel="0" collapsed="false">
      <c r="A129" s="226" t="s">
        <v>691</v>
      </c>
      <c r="B129" s="227"/>
      <c r="C129" s="228" t="n">
        <f aca="false">C89</f>
        <v>100.524050724638</v>
      </c>
      <c r="D129" s="228" t="n">
        <f aca="false">D89</f>
        <v>100.524050724638</v>
      </c>
      <c r="E129" s="228" t="n">
        <f aca="false">E89</f>
        <v>187.332384057971</v>
      </c>
      <c r="F129" s="229" t="n">
        <f aca="false">F89</f>
        <v>187.332384057971</v>
      </c>
      <c r="AMF129" s="116"/>
    </row>
    <row r="130" customFormat="false" ht="15.75" hidden="false" customHeight="true" outlineLevel="0" collapsed="false">
      <c r="A130" s="226" t="s">
        <v>692</v>
      </c>
      <c r="B130" s="227"/>
      <c r="C130" s="230" t="n">
        <f aca="false">SUM(C125:C129)</f>
        <v>3808.47550333104</v>
      </c>
      <c r="D130" s="230" t="n">
        <f aca="false">SUM(D125:D129)</f>
        <v>5205.17681707134</v>
      </c>
      <c r="E130" s="230" t="n">
        <f aca="false">SUM(E125:E129)</f>
        <v>10264.334044123</v>
      </c>
      <c r="F130" s="231" t="n">
        <f aca="false">SUM(F125:F129)</f>
        <v>11764.3839803328</v>
      </c>
      <c r="AMF130" s="116"/>
    </row>
    <row r="131" customFormat="false" ht="15.75" hidden="false" customHeight="true" outlineLevel="0" collapsed="false">
      <c r="A131" s="226" t="s">
        <v>693</v>
      </c>
      <c r="B131" s="232" t="n">
        <f aca="false">B113</f>
        <v>0.02</v>
      </c>
      <c r="C131" s="230" t="n">
        <f aca="false">C113</f>
        <v>631.464210190352</v>
      </c>
      <c r="D131" s="230" t="n">
        <f aca="false">D113</f>
        <v>863.044245609103</v>
      </c>
      <c r="E131" s="230" t="n">
        <f aca="false">E113</f>
        <v>1701.87771580336</v>
      </c>
      <c r="F131" s="231" t="n">
        <f aca="false">F113</f>
        <v>1950.59346765375</v>
      </c>
      <c r="AMF131" s="116"/>
    </row>
    <row r="132" customFormat="false" ht="15.75" hidden="false" customHeight="true" outlineLevel="0" collapsed="false">
      <c r="A132" s="226" t="s">
        <v>693</v>
      </c>
      <c r="B132" s="232" t="n">
        <f aca="false">B114</f>
        <v>0.025</v>
      </c>
      <c r="C132" s="230" t="n">
        <f aca="false">C114</f>
        <v>655.118657252267</v>
      </c>
      <c r="D132" s="230" t="n">
        <f aca="false">D114</f>
        <v>895.373606624982</v>
      </c>
      <c r="E132" s="230" t="n">
        <f aca="false">E114</f>
        <v>1765.62950994255</v>
      </c>
      <c r="F132" s="231" t="n">
        <f aca="false">F114</f>
        <v>2023.66207419603</v>
      </c>
      <c r="AMF132" s="116"/>
    </row>
    <row r="133" customFormat="false" ht="15.75" hidden="false" customHeight="true" outlineLevel="0" collapsed="false">
      <c r="A133" s="226" t="s">
        <v>693</v>
      </c>
      <c r="B133" s="232" t="n">
        <f aca="false">B115</f>
        <v>0.03</v>
      </c>
      <c r="C133" s="230" t="n">
        <f aca="false">C115</f>
        <v>679.026499569264</v>
      </c>
      <c r="D133" s="230" t="n">
        <f aca="false">D115</f>
        <v>928.049291808144</v>
      </c>
      <c r="E133" s="230" t="n">
        <f aca="false">E115</f>
        <v>1830.06423706663</v>
      </c>
      <c r="F133" s="231" t="n">
        <f aca="false">F115</f>
        <v>2097.51341889089</v>
      </c>
      <c r="AMF133" s="116"/>
    </row>
    <row r="134" customFormat="false" ht="15.75" hidden="false" customHeight="true" outlineLevel="0" collapsed="false">
      <c r="A134" s="226" t="s">
        <v>693</v>
      </c>
      <c r="B134" s="232" t="n">
        <f aca="false">B116</f>
        <v>0.035</v>
      </c>
      <c r="C134" s="230" t="n">
        <f aca="false">C116</f>
        <v>703.191830764204</v>
      </c>
      <c r="D134" s="230" t="n">
        <f aca="false">D116</f>
        <v>961.076896056283</v>
      </c>
      <c r="E134" s="230" t="n">
        <f aca="false">E116</f>
        <v>1895.19293001865</v>
      </c>
      <c r="F134" s="231" t="n">
        <f aca="false">F116</f>
        <v>2172.16014694271</v>
      </c>
      <c r="AMF134" s="116"/>
    </row>
    <row r="135" customFormat="false" ht="15.75" hidden="false" customHeight="true" outlineLevel="0" collapsed="false">
      <c r="A135" s="226" t="s">
        <v>693</v>
      </c>
      <c r="B135" s="233" t="n">
        <f aca="false">B117</f>
        <v>0.04</v>
      </c>
      <c r="C135" s="230" t="n">
        <f aca="false">C117</f>
        <v>727.618833114476</v>
      </c>
      <c r="D135" s="230" t="n">
        <f aca="false">D117</f>
        <v>994.462135434343</v>
      </c>
      <c r="E135" s="230" t="n">
        <f aca="false">E117</f>
        <v>1961.02686057708</v>
      </c>
      <c r="F135" s="231" t="n">
        <f aca="false">F117</f>
        <v>2247.61517740982</v>
      </c>
      <c r="AMF135" s="116"/>
    </row>
    <row r="136" customFormat="false" ht="15.75" hidden="false" customHeight="true" outlineLevel="0" collapsed="false">
      <c r="A136" s="234" t="s">
        <v>693</v>
      </c>
      <c r="B136" s="233" t="n">
        <f aca="false">B118</f>
        <v>0.05</v>
      </c>
      <c r="C136" s="235" t="n">
        <f aca="false">C118</f>
        <v>777.275038220611</v>
      </c>
      <c r="D136" s="235" t="n">
        <f aca="false">D118</f>
        <v>1062.32900957234</v>
      </c>
      <c r="E136" s="235" t="n">
        <f aca="false">E118</f>
        <v>2094.85675553822</v>
      </c>
      <c r="F136" s="236" t="n">
        <f aca="false">F118</f>
        <v>2401.00323606053</v>
      </c>
      <c r="AMF136" s="116"/>
    </row>
    <row r="137" customFormat="false" ht="15.75" hidden="false" customHeight="true" outlineLevel="0" collapsed="false">
      <c r="A137" s="237" t="s">
        <v>694</v>
      </c>
      <c r="B137" s="238" t="n">
        <f aca="false">B113</f>
        <v>0.02</v>
      </c>
      <c r="C137" s="239" t="n">
        <f aca="false">C$130+C131</f>
        <v>4439.93971352139</v>
      </c>
      <c r="D137" s="239" t="n">
        <f aca="false">D130+D131</f>
        <v>6068.22106268044</v>
      </c>
      <c r="E137" s="239" t="n">
        <f aca="false">E130+E131</f>
        <v>11966.2117599264</v>
      </c>
      <c r="F137" s="240" t="n">
        <f aca="false">F130+F131</f>
        <v>13714.9774479865</v>
      </c>
      <c r="AMF137" s="116"/>
    </row>
    <row r="138" customFormat="false" ht="15.75" hidden="false" customHeight="true" outlineLevel="0" collapsed="false">
      <c r="A138" s="237"/>
      <c r="B138" s="238" t="n">
        <f aca="false">B114</f>
        <v>0.025</v>
      </c>
      <c r="C138" s="239" t="n">
        <f aca="false">C$130+C132</f>
        <v>4463.5941605833</v>
      </c>
      <c r="D138" s="239" t="n">
        <f aca="false">D$130+D132</f>
        <v>6100.55042369632</v>
      </c>
      <c r="E138" s="239" t="n">
        <f aca="false">E$130+E132</f>
        <v>12029.9635540656</v>
      </c>
      <c r="F138" s="240" t="n">
        <f aca="false">F$130+F132</f>
        <v>13788.0460545288</v>
      </c>
      <c r="G138" s="156"/>
      <c r="AMF138" s="116"/>
    </row>
    <row r="139" customFormat="false" ht="15.75" hidden="false" customHeight="true" outlineLevel="0" collapsed="false">
      <c r="A139" s="237"/>
      <c r="B139" s="238" t="n">
        <f aca="false">B115</f>
        <v>0.03</v>
      </c>
      <c r="C139" s="239" t="n">
        <f aca="false">C$130+C133</f>
        <v>4487.5020029003</v>
      </c>
      <c r="D139" s="239" t="n">
        <f aca="false">D130+D133</f>
        <v>6133.22610887948</v>
      </c>
      <c r="E139" s="239" t="n">
        <f aca="false">E130+E133</f>
        <v>12094.3982811896</v>
      </c>
      <c r="F139" s="240" t="n">
        <f aca="false">F130+F133</f>
        <v>13861.8973992236</v>
      </c>
      <c r="AMF139" s="116"/>
    </row>
    <row r="140" customFormat="false" ht="15.75" hidden="false" customHeight="true" outlineLevel="0" collapsed="false">
      <c r="A140" s="237"/>
      <c r="B140" s="238" t="n">
        <f aca="false">B116</f>
        <v>0.035</v>
      </c>
      <c r="C140" s="239" t="n">
        <f aca="false">C$130+C134</f>
        <v>4511.66733409524</v>
      </c>
      <c r="D140" s="239" t="n">
        <f aca="false">D130+D134</f>
        <v>6166.25371312762</v>
      </c>
      <c r="E140" s="239" t="n">
        <f aca="false">E130+E134</f>
        <v>12159.5269741417</v>
      </c>
      <c r="F140" s="240" t="n">
        <f aca="false">F130+F134</f>
        <v>13936.5441272755</v>
      </c>
      <c r="AMF140" s="116"/>
    </row>
    <row r="141" customFormat="false" ht="15.75" hidden="false" customHeight="true" outlineLevel="0" collapsed="false">
      <c r="A141" s="237"/>
      <c r="B141" s="238" t="n">
        <f aca="false">B117</f>
        <v>0.04</v>
      </c>
      <c r="C141" s="239" t="n">
        <f aca="false">C$130+C135</f>
        <v>4536.09433644551</v>
      </c>
      <c r="D141" s="239" t="n">
        <f aca="false">D$130+D135</f>
        <v>6199.63895250568</v>
      </c>
      <c r="E141" s="239" t="n">
        <f aca="false">E$130+E135</f>
        <v>12225.3609047001</v>
      </c>
      <c r="F141" s="240" t="n">
        <f aca="false">F$130+F135</f>
        <v>14011.9991577426</v>
      </c>
      <c r="AMF141" s="116"/>
    </row>
    <row r="142" customFormat="false" ht="15.75" hidden="false" customHeight="true" outlineLevel="0" collapsed="false">
      <c r="A142" s="237"/>
      <c r="B142" s="238" t="n">
        <f aca="false">B118</f>
        <v>0.05</v>
      </c>
      <c r="C142" s="239" t="n">
        <f aca="false">C$130+C136</f>
        <v>4585.75054155165</v>
      </c>
      <c r="D142" s="239" t="n">
        <f aca="false">D130+D136</f>
        <v>6267.50582664367</v>
      </c>
      <c r="E142" s="239" t="n">
        <f aca="false">E130+E136</f>
        <v>12359.1907996612</v>
      </c>
      <c r="F142" s="240" t="n">
        <f aca="false">F130+F136</f>
        <v>14165.3872163933</v>
      </c>
      <c r="AMF142" s="116"/>
    </row>
    <row r="143" customFormat="false" ht="14.25" hidden="false" customHeight="true" outlineLevel="0" collapsed="false">
      <c r="A143" s="241" t="s">
        <v>695</v>
      </c>
      <c r="B143" s="242" t="n">
        <f aca="false">B97</f>
        <v>0.02</v>
      </c>
      <c r="C143" s="243"/>
      <c r="D143" s="243" t="n">
        <f aca="false">D137/220</f>
        <v>27.5828230121838</v>
      </c>
      <c r="E143" s="243"/>
      <c r="F143" s="244" t="n">
        <f aca="false">(F137/2)/220</f>
        <v>31.1704032908784</v>
      </c>
    </row>
    <row r="144" customFormat="false" ht="15" hidden="false" customHeight="false" outlineLevel="0" collapsed="false">
      <c r="A144" s="241"/>
      <c r="B144" s="245" t="n">
        <f aca="false">B100</f>
        <v>0.025</v>
      </c>
      <c r="C144" s="246"/>
      <c r="D144" s="246" t="n">
        <f aca="false">D138/220</f>
        <v>27.7297746531651</v>
      </c>
      <c r="E144" s="246"/>
      <c r="F144" s="244" t="n">
        <f aca="false">(F138/2)/220</f>
        <v>31.3364683057472</v>
      </c>
    </row>
    <row r="145" customFormat="false" ht="15" hidden="false" customHeight="false" outlineLevel="0" collapsed="false">
      <c r="A145" s="241"/>
      <c r="B145" s="245" t="n">
        <f aca="false">B103</f>
        <v>0.03</v>
      </c>
      <c r="C145" s="246"/>
      <c r="D145" s="246" t="n">
        <f aca="false">D139/220</f>
        <v>27.8783004949067</v>
      </c>
      <c r="E145" s="246"/>
      <c r="F145" s="244" t="n">
        <f aca="false">(F139/2)/220</f>
        <v>31.5043122709628</v>
      </c>
    </row>
    <row r="146" customFormat="false" ht="15" hidden="false" customHeight="false" outlineLevel="0" collapsed="false">
      <c r="A146" s="241"/>
      <c r="B146" s="245" t="n">
        <f aca="false">B106</f>
        <v>0.035</v>
      </c>
      <c r="C146" s="246"/>
      <c r="D146" s="246" t="n">
        <f aca="false">D140/220</f>
        <v>28.0284259687619</v>
      </c>
      <c r="E146" s="246"/>
      <c r="F146" s="244" t="n">
        <f aca="false">(F140/2)/220</f>
        <v>31.673963925626</v>
      </c>
    </row>
    <row r="147" customFormat="false" ht="15" hidden="false" customHeight="false" outlineLevel="0" collapsed="false">
      <c r="A147" s="241"/>
      <c r="B147" s="247" t="n">
        <f aca="false">B109</f>
        <v>0.04</v>
      </c>
      <c r="C147" s="248"/>
      <c r="D147" s="246" t="n">
        <f aca="false">D141/220</f>
        <v>28.180177056844</v>
      </c>
      <c r="E147" s="248"/>
      <c r="F147" s="244" t="n">
        <f aca="false">(F141/2)/220</f>
        <v>31.8454526312331</v>
      </c>
    </row>
    <row r="148" customFormat="false" ht="15" hidden="false" customHeight="false" outlineLevel="0" collapsed="false">
      <c r="A148" s="241"/>
      <c r="B148" s="249" t="n">
        <f aca="false">B112</f>
        <v>0.05</v>
      </c>
      <c r="C148" s="250"/>
      <c r="D148" s="250" t="n">
        <f aca="false">D142/220</f>
        <v>28.4886628483803</v>
      </c>
      <c r="E148" s="250"/>
      <c r="F148" s="251" t="n">
        <f aca="false">(F142/2)/220</f>
        <v>32.1940618554393</v>
      </c>
    </row>
    <row r="150" customFormat="false" ht="73.5" hidden="false" customHeight="true" outlineLevel="0" collapsed="false">
      <c r="A150" s="252" t="s">
        <v>696</v>
      </c>
      <c r="B150" s="252"/>
      <c r="C150" s="252"/>
      <c r="D150" s="252"/>
      <c r="E150" s="252"/>
      <c r="F150" s="252"/>
    </row>
  </sheetData>
  <mergeCells count="20">
    <mergeCell ref="A1:F1"/>
    <mergeCell ref="A2:F2"/>
    <mergeCell ref="A3:F3"/>
    <mergeCell ref="C5:F5"/>
    <mergeCell ref="A12:F12"/>
    <mergeCell ref="A22:B22"/>
    <mergeCell ref="A23:F23"/>
    <mergeCell ref="A52:B52"/>
    <mergeCell ref="A53:F53"/>
    <mergeCell ref="A62:B62"/>
    <mergeCell ref="A63:F63"/>
    <mergeCell ref="A80:F80"/>
    <mergeCell ref="A91:F91"/>
    <mergeCell ref="A113:A118"/>
    <mergeCell ref="A121:F121"/>
    <mergeCell ref="A122:F122"/>
    <mergeCell ref="A123:B123"/>
    <mergeCell ref="A137:A142"/>
    <mergeCell ref="A143:A148"/>
    <mergeCell ref="A150:F15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false"/>
  </sheetPr>
  <dimension ref="A1:AMF115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87" zoomScalePageLayoutView="100" workbookViewId="0">
      <selection pane="topLeft" activeCell="F21" activeCellId="0" sqref="F21"/>
    </sheetView>
  </sheetViews>
  <sheetFormatPr defaultColWidth="10.30078125" defaultRowHeight="15" zeroHeight="false" outlineLevelRow="0" outlineLevelCol="0"/>
  <cols>
    <col collapsed="false" customWidth="true" hidden="false" outlineLevel="0" max="1" min="1" style="115" width="63.71"/>
    <col collapsed="false" customWidth="true" hidden="false" outlineLevel="0" max="2" min="2" style="115" width="11.42"/>
    <col collapsed="false" customWidth="true" hidden="false" outlineLevel="0" max="3" min="3" style="115" width="17"/>
    <col collapsed="false" customWidth="true" hidden="false" outlineLevel="0" max="4" min="4" style="115" width="16.71"/>
    <col collapsed="false" customWidth="true" hidden="false" outlineLevel="0" max="5" min="5" style="115" width="18.29"/>
    <col collapsed="false" customWidth="true" hidden="false" outlineLevel="0" max="6" min="6" style="115" width="17.29"/>
    <col collapsed="false" customWidth="false" hidden="false" outlineLevel="0" max="1020" min="7" style="115" width="10.29"/>
    <col collapsed="false" customWidth="true" hidden="false" outlineLevel="0" max="1024" min="1021" style="116" width="9.58"/>
  </cols>
  <sheetData>
    <row r="1" customFormat="false" ht="15.75" hidden="false" customHeight="false" outlineLevel="0" collapsed="false">
      <c r="A1" s="117" t="s">
        <v>587</v>
      </c>
      <c r="B1" s="117"/>
      <c r="C1" s="117"/>
      <c r="D1" s="117"/>
      <c r="E1" s="117"/>
      <c r="F1" s="117"/>
      <c r="AMF1" s="116"/>
    </row>
    <row r="2" customFormat="false" ht="15.75" hidden="false" customHeight="false" outlineLevel="0" collapsed="false">
      <c r="A2" s="118" t="s">
        <v>588</v>
      </c>
      <c r="B2" s="118"/>
      <c r="C2" s="118"/>
      <c r="D2" s="118"/>
      <c r="E2" s="118"/>
      <c r="F2" s="118"/>
      <c r="AMF2" s="116"/>
    </row>
    <row r="3" customFormat="false" ht="15.75" hidden="false" customHeight="true" outlineLevel="0" collapsed="false">
      <c r="A3" s="118" t="str">
        <f aca="false">' RS2-a'!A3</f>
        <v>Processo 35014.236158/2024-27</v>
      </c>
      <c r="B3" s="118"/>
      <c r="C3" s="118"/>
      <c r="D3" s="118"/>
      <c r="E3" s="118"/>
      <c r="F3" s="118"/>
      <c r="AMF3" s="116"/>
    </row>
    <row r="4" customFormat="false" ht="36" hidden="false" customHeight="false" outlineLevel="0" collapsed="false">
      <c r="A4" s="119"/>
      <c r="B4" s="120"/>
      <c r="C4" s="121" t="s">
        <v>590</v>
      </c>
      <c r="D4" s="122" t="s">
        <v>591</v>
      </c>
      <c r="E4" s="123" t="s">
        <v>592</v>
      </c>
      <c r="F4" s="124" t="s">
        <v>593</v>
      </c>
      <c r="AMF4" s="116"/>
    </row>
    <row r="5" customFormat="false" ht="15.75" hidden="false" customHeight="false" outlineLevel="0" collapsed="false">
      <c r="A5" s="125"/>
      <c r="B5" s="126" t="s">
        <v>594</v>
      </c>
      <c r="C5" s="127" t="s">
        <v>595</v>
      </c>
      <c r="D5" s="127"/>
      <c r="E5" s="127"/>
      <c r="F5" s="127"/>
      <c r="AMF5" s="116"/>
    </row>
    <row r="6" customFormat="false" ht="15" hidden="false" customHeight="false" outlineLevel="0" collapsed="false">
      <c r="A6" s="128"/>
      <c r="B6" s="126" t="s">
        <v>596</v>
      </c>
      <c r="C6" s="129" t="n">
        <f aca="false">MC!B10</f>
        <v>1348.5</v>
      </c>
      <c r="D6" s="130" t="n">
        <f aca="false">MC!C10</f>
        <v>1977.8</v>
      </c>
      <c r="E6" s="130" t="n">
        <f aca="false">MC!C10</f>
        <v>1977.8</v>
      </c>
      <c r="F6" s="131" t="n">
        <f aca="false">MC!C10</f>
        <v>1977.8</v>
      </c>
      <c r="AMF6" s="116"/>
    </row>
    <row r="7" customFormat="false" ht="15" hidden="false" customHeight="false" outlineLevel="0" collapsed="false">
      <c r="A7" s="128"/>
      <c r="B7" s="126" t="s">
        <v>597</v>
      </c>
      <c r="C7" s="132" t="n">
        <f aca="false">MC!$E10</f>
        <v>45323</v>
      </c>
      <c r="D7" s="133" t="n">
        <f aca="false">MC!$E10</f>
        <v>45323</v>
      </c>
      <c r="E7" s="133" t="n">
        <f aca="false">MC!$E10</f>
        <v>45323</v>
      </c>
      <c r="F7" s="134" t="n">
        <f aca="false">MC!$E10</f>
        <v>45323</v>
      </c>
      <c r="AMF7" s="116"/>
    </row>
    <row r="8" customFormat="false" ht="15" hidden="false" customHeight="false" outlineLevel="0" collapsed="false">
      <c r="A8" s="128"/>
      <c r="B8" s="126" t="s">
        <v>598</v>
      </c>
      <c r="C8" s="132" t="str">
        <f aca="false">MC!$D10</f>
        <v>RS000385/2024</v>
      </c>
      <c r="D8" s="133" t="str">
        <f aca="false">MC!$D10</f>
        <v>RS000385/2024</v>
      </c>
      <c r="E8" s="133" t="str">
        <f aca="false">MC!$D10</f>
        <v>RS000385/2024</v>
      </c>
      <c r="F8" s="134" t="str">
        <f aca="false">MC!$D10</f>
        <v>RS000385/2024</v>
      </c>
      <c r="AMF8" s="116"/>
    </row>
    <row r="9" customFormat="false" ht="15" hidden="false" customHeight="false" outlineLevel="0" collapsed="false">
      <c r="A9" s="135"/>
      <c r="B9" s="136" t="s">
        <v>599</v>
      </c>
      <c r="C9" s="137" t="str">
        <f aca="false">MC!$F10</f>
        <v>5173-30</v>
      </c>
      <c r="D9" s="138" t="str">
        <f aca="false">MC!$F10</f>
        <v>5173-30</v>
      </c>
      <c r="E9" s="138" t="str">
        <f aca="false">MC!$F10</f>
        <v>5173-30</v>
      </c>
      <c r="F9" s="139" t="str">
        <f aca="false">MC!$F10</f>
        <v>5173-30</v>
      </c>
      <c r="AMF9" s="116"/>
    </row>
    <row r="10" customFormat="false" ht="15" hidden="false" customHeight="false" outlineLevel="0" collapsed="false">
      <c r="A10" s="140" t="s">
        <v>697</v>
      </c>
      <c r="B10" s="141"/>
      <c r="C10" s="141"/>
      <c r="D10" s="141"/>
      <c r="E10" s="141"/>
      <c r="F10" s="142"/>
      <c r="AMF10" s="116"/>
    </row>
    <row r="11" customFormat="false" ht="66.75" hidden="false" customHeight="true" outlineLevel="0" collapsed="false">
      <c r="A11" s="143" t="s">
        <v>601</v>
      </c>
      <c r="B11" s="144" t="s">
        <v>602</v>
      </c>
      <c r="C11" s="145" t="s">
        <v>603</v>
      </c>
      <c r="D11" s="145" t="s">
        <v>604</v>
      </c>
      <c r="E11" s="145" t="s">
        <v>605</v>
      </c>
      <c r="F11" s="146" t="s">
        <v>606</v>
      </c>
      <c r="AMF11" s="116"/>
    </row>
    <row r="12" customFormat="false" ht="15.75" hidden="false" customHeight="true" outlineLevel="0" collapsed="false">
      <c r="A12" s="147" t="s">
        <v>607</v>
      </c>
      <c r="B12" s="147"/>
      <c r="C12" s="147"/>
      <c r="D12" s="147"/>
      <c r="E12" s="147"/>
      <c r="F12" s="147"/>
      <c r="AMF12" s="116"/>
    </row>
    <row r="13" customFormat="false" ht="15.75" hidden="false" customHeight="true" outlineLevel="0" collapsed="false">
      <c r="A13" s="148" t="s">
        <v>608</v>
      </c>
      <c r="B13" s="149" t="s">
        <v>609</v>
      </c>
      <c r="C13" s="149" t="s">
        <v>610</v>
      </c>
      <c r="D13" s="149" t="s">
        <v>610</v>
      </c>
      <c r="E13" s="149" t="s">
        <v>610</v>
      </c>
      <c r="F13" s="150" t="s">
        <v>610</v>
      </c>
      <c r="AMF13" s="116"/>
    </row>
    <row r="14" customFormat="false" ht="15.75" hidden="false" customHeight="true" outlineLevel="0" collapsed="false">
      <c r="A14" s="152" t="s">
        <v>611</v>
      </c>
      <c r="B14" s="153"/>
      <c r="C14" s="154" t="n">
        <f aca="false">C6</f>
        <v>1348.5</v>
      </c>
      <c r="D14" s="154" t="n">
        <f aca="false">D6</f>
        <v>1977.8</v>
      </c>
      <c r="E14" s="154" t="n">
        <f aca="false">E6*2</f>
        <v>3955.6</v>
      </c>
      <c r="F14" s="155" t="n">
        <f aca="false">F6*2</f>
        <v>3955.6</v>
      </c>
      <c r="H14" s="156"/>
      <c r="AMF14" s="116"/>
    </row>
    <row r="15" customFormat="false" ht="15.75" hidden="false" customHeight="true" outlineLevel="0" collapsed="false">
      <c r="A15" s="152" t="s">
        <v>612</v>
      </c>
      <c r="B15" s="157" t="n">
        <v>0.3</v>
      </c>
      <c r="C15" s="154" t="n">
        <f aca="false">$B$15*C14</f>
        <v>404.55</v>
      </c>
      <c r="D15" s="154" t="n">
        <f aca="false">$B$15*D14</f>
        <v>593.34</v>
      </c>
      <c r="E15" s="154" t="n">
        <f aca="false">$B$15*E14</f>
        <v>1186.68</v>
      </c>
      <c r="F15" s="155" t="n">
        <f aca="false">$B$15*(F14)</f>
        <v>1186.68</v>
      </c>
      <c r="H15" s="156"/>
      <c r="AMF15" s="116"/>
    </row>
    <row r="16" customFormat="false" ht="15.75" hidden="false" customHeight="true" outlineLevel="0" collapsed="false">
      <c r="A16" s="152" t="s">
        <v>613</v>
      </c>
      <c r="B16" s="157" t="n">
        <v>0.2</v>
      </c>
      <c r="C16" s="154"/>
      <c r="D16" s="154"/>
      <c r="E16" s="154"/>
      <c r="F16" s="155" t="n">
        <f aca="false">(F14+F15)/220*(8*15)*0.2</f>
        <v>560.976</v>
      </c>
      <c r="AMF16" s="116"/>
    </row>
    <row r="17" customFormat="false" ht="15.75" hidden="false" customHeight="true" outlineLevel="0" collapsed="false">
      <c r="A17" s="152" t="s">
        <v>614</v>
      </c>
      <c r="B17" s="158"/>
      <c r="C17" s="154"/>
      <c r="D17" s="154"/>
      <c r="E17" s="154"/>
      <c r="F17" s="155" t="n">
        <f aca="false">(F14+F15)/220*1.5*4.334</f>
        <v>151.954374</v>
      </c>
      <c r="H17" s="156"/>
      <c r="AMF17" s="116"/>
    </row>
    <row r="18" customFormat="false" ht="15.75" hidden="false" customHeight="true" outlineLevel="0" collapsed="false">
      <c r="A18" s="152" t="s">
        <v>615</v>
      </c>
      <c r="B18" s="157" t="n">
        <v>0.5</v>
      </c>
      <c r="C18" s="154"/>
      <c r="D18" s="154"/>
      <c r="E18" s="154" t="n">
        <f aca="false">(E14/220)*1.5*(15*B18)</f>
        <v>202.275</v>
      </c>
      <c r="F18" s="155" t="n">
        <f aca="false">(F14/220)*1.5*(15*B18)</f>
        <v>202.275</v>
      </c>
      <c r="AMF18" s="116"/>
    </row>
    <row r="19" customFormat="false" ht="15.75" hidden="false" customHeight="true" outlineLevel="0" collapsed="false">
      <c r="A19" s="152" t="s">
        <v>616</v>
      </c>
      <c r="B19" s="157"/>
      <c r="C19" s="154" t="n">
        <f aca="false">C14/150/6*22</f>
        <v>32.9633333333333</v>
      </c>
      <c r="D19" s="154" t="n">
        <f aca="false">D14/220/6*22</f>
        <v>32.9633333333333</v>
      </c>
      <c r="E19" s="154" t="n">
        <f aca="false">E14/220/6*15</f>
        <v>44.95</v>
      </c>
      <c r="F19" s="155" t="n">
        <f aca="false">F14/220/6*15</f>
        <v>44.95</v>
      </c>
      <c r="AMF19" s="116"/>
    </row>
    <row r="20" customFormat="false" ht="15.75" hidden="false" customHeight="true" outlineLevel="0" collapsed="false">
      <c r="A20" s="152" t="s">
        <v>617</v>
      </c>
      <c r="B20" s="157"/>
      <c r="C20" s="154"/>
      <c r="D20" s="154"/>
      <c r="E20" s="154"/>
      <c r="F20" s="155" t="n">
        <f aca="false">(F16+F17)*0.2</f>
        <v>142.5860748</v>
      </c>
      <c r="AMF20" s="116"/>
    </row>
    <row r="21" customFormat="false" ht="15.75" hidden="false" customHeight="true" outlineLevel="0" collapsed="false">
      <c r="A21" s="159" t="s">
        <v>7</v>
      </c>
      <c r="B21" s="160"/>
      <c r="C21" s="161" t="n">
        <f aca="false">SUM(C14:C20)</f>
        <v>1786.01333333333</v>
      </c>
      <c r="D21" s="161" t="n">
        <f aca="false">SUM(D14:D20)</f>
        <v>2604.10333333333</v>
      </c>
      <c r="E21" s="161" t="n">
        <f aca="false">SUM(E14:E20)</f>
        <v>5389.505</v>
      </c>
      <c r="F21" s="162" t="n">
        <f aca="false">SUM(F14:F20)</f>
        <v>6245.0214488</v>
      </c>
      <c r="AMF21" s="116"/>
    </row>
    <row r="22" customFormat="false" ht="15.75" hidden="false" customHeight="true" outlineLevel="0" collapsed="false">
      <c r="A22" s="163"/>
      <c r="B22" s="163"/>
      <c r="C22" s="164"/>
      <c r="D22" s="164"/>
      <c r="E22" s="164"/>
      <c r="F22" s="165"/>
      <c r="J22" s="156"/>
      <c r="AMF22" s="116"/>
    </row>
    <row r="23" customFormat="false" ht="15.75" hidden="false" customHeight="true" outlineLevel="0" collapsed="false">
      <c r="A23" s="147" t="s">
        <v>618</v>
      </c>
      <c r="B23" s="147"/>
      <c r="C23" s="147"/>
      <c r="D23" s="147"/>
      <c r="E23" s="147"/>
      <c r="F23" s="147"/>
      <c r="AMF23" s="116"/>
    </row>
    <row r="24" customFormat="false" ht="15.75" hidden="false" customHeight="true" outlineLevel="0" collapsed="false">
      <c r="A24" s="166" t="s">
        <v>619</v>
      </c>
      <c r="B24" s="167" t="s">
        <v>609</v>
      </c>
      <c r="C24" s="167" t="s">
        <v>610</v>
      </c>
      <c r="D24" s="167" t="s">
        <v>610</v>
      </c>
      <c r="E24" s="167" t="s">
        <v>610</v>
      </c>
      <c r="F24" s="168" t="s">
        <v>610</v>
      </c>
      <c r="AMF24" s="116"/>
    </row>
    <row r="25" customFormat="false" ht="15.75" hidden="false" customHeight="true" outlineLevel="0" collapsed="false">
      <c r="A25" s="169" t="s">
        <v>620</v>
      </c>
      <c r="B25" s="157" t="n">
        <f aca="false">1/12</f>
        <v>0.0833333333333333</v>
      </c>
      <c r="C25" s="154" t="n">
        <f aca="false">ROUND($B25*C$21,2)</f>
        <v>148.83</v>
      </c>
      <c r="D25" s="154" t="n">
        <f aca="false">ROUND($B25*D$21,2)</f>
        <v>217.01</v>
      </c>
      <c r="E25" s="154" t="n">
        <f aca="false">ROUND($B25*(E$21-E18),2)</f>
        <v>432.27</v>
      </c>
      <c r="F25" s="155" t="n">
        <f aca="false">ROUND($B25*(F$21-F18),2)</f>
        <v>503.56</v>
      </c>
      <c r="AMF25" s="116"/>
    </row>
    <row r="26" customFormat="false" ht="15.75" hidden="false" customHeight="true" outlineLevel="0" collapsed="false">
      <c r="A26" s="169" t="s">
        <v>621</v>
      </c>
      <c r="B26" s="157" t="n">
        <f aca="false">1/3*1/12</f>
        <v>0.0277777777777778</v>
      </c>
      <c r="C26" s="154" t="n">
        <f aca="false">C$21*$B$26</f>
        <v>49.6114814814815</v>
      </c>
      <c r="D26" s="154" t="n">
        <f aca="false">D$21*$B$26</f>
        <v>72.3362037037037</v>
      </c>
      <c r="E26" s="154" t="n">
        <f aca="false">(E$21-E18)*$B$26</f>
        <v>144.089722222222</v>
      </c>
      <c r="F26" s="155" t="n">
        <f aca="false">(F$21-F18)*$B$26</f>
        <v>167.854068022222</v>
      </c>
      <c r="AMF26" s="116"/>
    </row>
    <row r="27" customFormat="false" ht="15.75" hidden="false" customHeight="true" outlineLevel="0" collapsed="false">
      <c r="A27" s="159" t="s">
        <v>7</v>
      </c>
      <c r="B27" s="170" t="n">
        <f aca="false">SUM(B25:B26)</f>
        <v>0.111111111111111</v>
      </c>
      <c r="C27" s="161" t="n">
        <f aca="false">SUM(C25:C26)</f>
        <v>198.441481481482</v>
      </c>
      <c r="D27" s="161" t="n">
        <f aca="false">SUM(D25:D26)</f>
        <v>289.346203703704</v>
      </c>
      <c r="E27" s="161" t="n">
        <f aca="false">SUM(E25:E26)</f>
        <v>576.359722222222</v>
      </c>
      <c r="F27" s="162" t="n">
        <f aca="false">SUM(F25:F26)</f>
        <v>671.414068022222</v>
      </c>
      <c r="AMF27" s="116"/>
    </row>
    <row r="28" customFormat="false" ht="15.75" hidden="false" customHeight="true" outlineLevel="0" collapsed="false">
      <c r="A28" s="166" t="s">
        <v>622</v>
      </c>
      <c r="B28" s="167" t="s">
        <v>609</v>
      </c>
      <c r="C28" s="167" t="s">
        <v>610</v>
      </c>
      <c r="D28" s="167" t="s">
        <v>610</v>
      </c>
      <c r="E28" s="167" t="s">
        <v>610</v>
      </c>
      <c r="F28" s="168" t="s">
        <v>610</v>
      </c>
      <c r="AMF28" s="116"/>
    </row>
    <row r="29" customFormat="false" ht="15.75" hidden="false" customHeight="true" outlineLevel="0" collapsed="false">
      <c r="A29" s="171" t="s">
        <v>623</v>
      </c>
      <c r="B29" s="172"/>
      <c r="C29" s="172"/>
      <c r="D29" s="172"/>
      <c r="E29" s="172"/>
      <c r="F29" s="173"/>
      <c r="AMF29" s="116"/>
    </row>
    <row r="30" customFormat="false" ht="15.75" hidden="false" customHeight="true" outlineLevel="0" collapsed="false">
      <c r="A30" s="169" t="s">
        <v>624</v>
      </c>
      <c r="B30" s="157" t="n">
        <v>0.2</v>
      </c>
      <c r="C30" s="174" t="n">
        <f aca="false">ROUND(($C$21+$C$27)*$B30,2)</f>
        <v>396.89</v>
      </c>
      <c r="D30" s="174" t="n">
        <f aca="false">ROUND(($D$21+$D$27)*$B30,2)</f>
        <v>578.69</v>
      </c>
      <c r="E30" s="174" t="n">
        <f aca="false">ROUND(($E$21+$E$27)*$B30,2)</f>
        <v>1193.17</v>
      </c>
      <c r="F30" s="175" t="n">
        <f aca="false">ROUND(($F$21+$F$27)*$B30,2)</f>
        <v>1383.29</v>
      </c>
      <c r="AMF30" s="116"/>
    </row>
    <row r="31" customFormat="false" ht="15.75" hidden="false" customHeight="true" outlineLevel="0" collapsed="false">
      <c r="A31" s="169" t="s">
        <v>625</v>
      </c>
      <c r="B31" s="157" t="n">
        <v>0.025</v>
      </c>
      <c r="C31" s="174" t="n">
        <f aca="false">ROUND(($C$21+$C$27)*$B31,2)</f>
        <v>49.61</v>
      </c>
      <c r="D31" s="174" t="n">
        <f aca="false">ROUND(($D$21+$D$27)*B31,2)</f>
        <v>72.34</v>
      </c>
      <c r="E31" s="174" t="n">
        <f aca="false">ROUND(($E$21+$E$27)*B31,2)</f>
        <v>149.15</v>
      </c>
      <c r="F31" s="175" t="n">
        <f aca="false">ROUND(($F$21+$F$27)*B31,2)</f>
        <v>172.91</v>
      </c>
      <c r="AMF31" s="116"/>
    </row>
    <row r="32" customFormat="false" ht="15.75" hidden="false" customHeight="true" outlineLevel="0" collapsed="false">
      <c r="A32" s="169" t="s">
        <v>626</v>
      </c>
      <c r="B32" s="157" t="n">
        <v>0.03</v>
      </c>
      <c r="C32" s="174" t="n">
        <f aca="false">ROUND(($C$21+$C$27)*$B32,2)</f>
        <v>59.53</v>
      </c>
      <c r="D32" s="174" t="n">
        <f aca="false">ROUND(($D$21+$D$27)*B32,2)</f>
        <v>86.8</v>
      </c>
      <c r="E32" s="174" t="n">
        <f aca="false">ROUND(($E$21+$E$27)*B32,2)</f>
        <v>178.98</v>
      </c>
      <c r="F32" s="175" t="n">
        <f aca="false">ROUND(($F$21+$F$27)*B32,2)</f>
        <v>207.49</v>
      </c>
      <c r="AMF32" s="116"/>
    </row>
    <row r="33" customFormat="false" ht="15.75" hidden="false" customHeight="true" outlineLevel="0" collapsed="false">
      <c r="A33" s="169" t="s">
        <v>627</v>
      </c>
      <c r="B33" s="157" t="n">
        <v>0.015</v>
      </c>
      <c r="C33" s="174" t="n">
        <f aca="false">ROUND(($C$21+$C$27)*$B33,2)</f>
        <v>29.77</v>
      </c>
      <c r="D33" s="174" t="n">
        <f aca="false">ROUND(($D$21+$D$27)*B33,2)</f>
        <v>43.4</v>
      </c>
      <c r="E33" s="174" t="n">
        <f aca="false">ROUND(($E$21+$E$27)*B33,2)</f>
        <v>89.49</v>
      </c>
      <c r="F33" s="175" t="n">
        <f aca="false">ROUND(($F$21+$F$27)*B33,2)</f>
        <v>103.75</v>
      </c>
      <c r="AMF33" s="116"/>
    </row>
    <row r="34" customFormat="false" ht="15.75" hidden="false" customHeight="true" outlineLevel="0" collapsed="false">
      <c r="A34" s="169" t="s">
        <v>628</v>
      </c>
      <c r="B34" s="157" t="n">
        <v>0.01</v>
      </c>
      <c r="C34" s="174" t="n">
        <f aca="false">ROUND(($C$21+$C$27)*$B34,2)</f>
        <v>19.84</v>
      </c>
      <c r="D34" s="174" t="n">
        <f aca="false">ROUND(($D$21+$D$27)*B34,2)</f>
        <v>28.93</v>
      </c>
      <c r="E34" s="174" t="n">
        <f aca="false">ROUND(($E$21+$E$27)*B34,2)</f>
        <v>59.66</v>
      </c>
      <c r="F34" s="175" t="n">
        <f aca="false">ROUND(($F$21+$F$27)*B34,2)</f>
        <v>69.16</v>
      </c>
      <c r="AMF34" s="116"/>
    </row>
    <row r="35" customFormat="false" ht="15.75" hidden="false" customHeight="true" outlineLevel="0" collapsed="false">
      <c r="A35" s="169" t="s">
        <v>629</v>
      </c>
      <c r="B35" s="157" t="n">
        <v>0.006</v>
      </c>
      <c r="C35" s="174" t="n">
        <f aca="false">ROUND(($C$21+$C$27)*$B35,2)</f>
        <v>11.91</v>
      </c>
      <c r="D35" s="174" t="n">
        <f aca="false">ROUND(($D$21+$D$27)*B35,2)</f>
        <v>17.36</v>
      </c>
      <c r="E35" s="174" t="n">
        <f aca="false">ROUND(($E$21+$E$27)*B35,2)</f>
        <v>35.8</v>
      </c>
      <c r="F35" s="175" t="n">
        <f aca="false">ROUND(($F$21+$F$27)*B35,2)</f>
        <v>41.5</v>
      </c>
      <c r="AMF35" s="116"/>
    </row>
    <row r="36" customFormat="false" ht="15.75" hidden="false" customHeight="true" outlineLevel="0" collapsed="false">
      <c r="A36" s="169" t="s">
        <v>630</v>
      </c>
      <c r="B36" s="157" t="n">
        <v>0.002</v>
      </c>
      <c r="C36" s="174" t="n">
        <f aca="false">ROUND(($C$21+$C$27)*$B36,2)</f>
        <v>3.97</v>
      </c>
      <c r="D36" s="174" t="n">
        <f aca="false">ROUND(($D$21+$D$27)*B36,2)</f>
        <v>5.79</v>
      </c>
      <c r="E36" s="174" t="n">
        <f aca="false">ROUND(($E$21+$E$27)*B36,2)</f>
        <v>11.93</v>
      </c>
      <c r="F36" s="175" t="n">
        <f aca="false">ROUND(($F$21+$F$27)*B36,2)</f>
        <v>13.83</v>
      </c>
      <c r="AMF36" s="116"/>
    </row>
    <row r="37" customFormat="false" ht="15.75" hidden="false" customHeight="true" outlineLevel="0" collapsed="false">
      <c r="A37" s="169" t="s">
        <v>631</v>
      </c>
      <c r="B37" s="157" t="n">
        <v>0.08</v>
      </c>
      <c r="C37" s="174" t="n">
        <f aca="false">ROUND(($C$21+$C$27)*$B37,2)</f>
        <v>158.76</v>
      </c>
      <c r="D37" s="174" t="n">
        <f aca="false">ROUND(($D$21+$D$27)*B37,2)</f>
        <v>231.48</v>
      </c>
      <c r="E37" s="174" t="n">
        <f aca="false">ROUND(($E$21+$E$27)*B37,2)</f>
        <v>477.27</v>
      </c>
      <c r="F37" s="175" t="n">
        <f aca="false">ROUND(($F$21+$F$27)*B37,2)</f>
        <v>553.31</v>
      </c>
      <c r="AMF37" s="116"/>
    </row>
    <row r="38" customFormat="false" ht="15.75" hidden="false" customHeight="true" outlineLevel="0" collapsed="false">
      <c r="A38" s="159" t="s">
        <v>7</v>
      </c>
      <c r="B38" s="170" t="n">
        <f aca="false">SUM(B30:B37)</f>
        <v>0.368</v>
      </c>
      <c r="C38" s="161" t="n">
        <f aca="false">SUM(C29:C37)</f>
        <v>730.28</v>
      </c>
      <c r="D38" s="161" t="n">
        <f aca="false">SUM(D29:D37)</f>
        <v>1064.79</v>
      </c>
      <c r="E38" s="161" t="n">
        <f aca="false">SUM(E30:E37)</f>
        <v>2195.45</v>
      </c>
      <c r="F38" s="162" t="n">
        <f aca="false">SUM(F30:F37)</f>
        <v>2545.24</v>
      </c>
      <c r="AMF38" s="116"/>
    </row>
    <row r="39" customFormat="false" ht="15.75" hidden="false" customHeight="true" outlineLevel="0" collapsed="false">
      <c r="A39" s="166" t="s">
        <v>632</v>
      </c>
      <c r="B39" s="167" t="s">
        <v>633</v>
      </c>
      <c r="C39" s="167" t="s">
        <v>610</v>
      </c>
      <c r="D39" s="167" t="s">
        <v>610</v>
      </c>
      <c r="E39" s="167" t="s">
        <v>610</v>
      </c>
      <c r="F39" s="168" t="s">
        <v>610</v>
      </c>
      <c r="AMF39" s="116"/>
    </row>
    <row r="40" customFormat="false" ht="15.75" hidden="false" customHeight="true" outlineLevel="0" collapsed="false">
      <c r="A40" s="169" t="s">
        <v>634</v>
      </c>
      <c r="B40" s="176" t="n">
        <f aca="false">VT!C29</f>
        <v>4.75</v>
      </c>
      <c r="C40" s="154" t="n">
        <f aca="false">ROUND(($B$40*2*22)-(0.06*C$14),2)</f>
        <v>128.09</v>
      </c>
      <c r="D40" s="154" t="n">
        <f aca="false">ROUND(($B$40*2*22)-(0.06*D$14),2)</f>
        <v>90.33</v>
      </c>
      <c r="E40" s="154" t="n">
        <f aca="false">ROUND(($B$40*2*30)-(0.06*E$14),2)</f>
        <v>47.66</v>
      </c>
      <c r="F40" s="155" t="n">
        <f aca="false">ROUND(($B$40*2*30)-(0.06*F$14),2)</f>
        <v>47.66</v>
      </c>
      <c r="H40" s="177"/>
      <c r="AMF40" s="116"/>
    </row>
    <row r="41" customFormat="false" ht="15.75" hidden="false" customHeight="true" outlineLevel="0" collapsed="false">
      <c r="A41" s="169" t="s">
        <v>635</v>
      </c>
      <c r="B41" s="178" t="n">
        <f aca="false">MC!B33</f>
        <v>27</v>
      </c>
      <c r="C41" s="174" t="n">
        <f aca="false">(ROUND(($B$41*(1-0.2)*22),2))</f>
        <v>475.2</v>
      </c>
      <c r="D41" s="174" t="n">
        <f aca="false">(ROUND(($B$41*(1-0.2)*22),2))</f>
        <v>475.2</v>
      </c>
      <c r="E41" s="174" t="n">
        <f aca="false">(ROUND(($B$41*(1-0.2)*30),2))</f>
        <v>648</v>
      </c>
      <c r="F41" s="175" t="n">
        <f aca="false">(ROUND(($B$41*(1-0.2)*30),2))</f>
        <v>648</v>
      </c>
      <c r="AMF41" s="116"/>
    </row>
    <row r="42" customFormat="false" ht="15.75" hidden="false" customHeight="true" outlineLevel="0" collapsed="false">
      <c r="A42" s="169" t="s">
        <v>636</v>
      </c>
      <c r="B42" s="157"/>
      <c r="C42" s="174"/>
      <c r="D42" s="174"/>
      <c r="E42" s="174"/>
      <c r="F42" s="175"/>
      <c r="AMF42" s="116"/>
    </row>
    <row r="43" customFormat="false" ht="15.75" hidden="false" customHeight="true" outlineLevel="0" collapsed="false">
      <c r="A43" s="179" t="s">
        <v>637</v>
      </c>
      <c r="B43" s="180" t="n">
        <f aca="false">MC!$B38</f>
        <v>23.72</v>
      </c>
      <c r="C43" s="174" t="n">
        <f aca="false">MC!$B38</f>
        <v>23.72</v>
      </c>
      <c r="D43" s="174" t="n">
        <f aca="false">MC!$B38</f>
        <v>23.72</v>
      </c>
      <c r="E43" s="174" t="n">
        <f aca="false">MC!$B38*2</f>
        <v>47.44</v>
      </c>
      <c r="F43" s="175" t="n">
        <f aca="false">MC!$B38*2</f>
        <v>47.44</v>
      </c>
      <c r="AMF43" s="116"/>
    </row>
    <row r="44" customFormat="false" ht="15.75" hidden="false" customHeight="true" outlineLevel="0" collapsed="false">
      <c r="A44" s="169" t="s">
        <v>638</v>
      </c>
      <c r="B44" s="157"/>
      <c r="C44" s="174"/>
      <c r="D44" s="174"/>
      <c r="E44" s="174"/>
      <c r="F44" s="175"/>
      <c r="AMF44" s="116"/>
    </row>
    <row r="45" customFormat="false" ht="15.75" hidden="false" customHeight="true" outlineLevel="0" collapsed="false">
      <c r="A45" s="169" t="s">
        <v>639</v>
      </c>
      <c r="B45" s="157"/>
      <c r="C45" s="174"/>
      <c r="D45" s="174"/>
      <c r="E45" s="174"/>
      <c r="F45" s="175"/>
      <c r="AMF45" s="116"/>
    </row>
    <row r="46" customFormat="false" ht="15.75" hidden="false" customHeight="true" outlineLevel="0" collapsed="false">
      <c r="A46" s="159" t="s">
        <v>7</v>
      </c>
      <c r="B46" s="160"/>
      <c r="C46" s="161" t="n">
        <f aca="false">SUM(C40:C45)</f>
        <v>627.01</v>
      </c>
      <c r="D46" s="161" t="n">
        <f aca="false">SUM(D40:D45)</f>
        <v>589.25</v>
      </c>
      <c r="E46" s="161" t="n">
        <f aca="false">SUM(E40:E45)</f>
        <v>743.1</v>
      </c>
      <c r="F46" s="162" t="n">
        <f aca="false">SUM(F40:F45)</f>
        <v>743.1</v>
      </c>
      <c r="AMF46" s="116"/>
    </row>
    <row r="47" customFormat="false" ht="15.75" hidden="false" customHeight="true" outlineLevel="0" collapsed="false">
      <c r="A47" s="148" t="s">
        <v>640</v>
      </c>
      <c r="B47" s="149" t="s">
        <v>609</v>
      </c>
      <c r="C47" s="149" t="s">
        <v>610</v>
      </c>
      <c r="D47" s="149" t="s">
        <v>610</v>
      </c>
      <c r="E47" s="149" t="s">
        <v>610</v>
      </c>
      <c r="F47" s="150" t="s">
        <v>610</v>
      </c>
      <c r="AMF47" s="116"/>
    </row>
    <row r="48" customFormat="false" ht="15.75" hidden="false" customHeight="true" outlineLevel="0" collapsed="false">
      <c r="A48" s="169" t="s">
        <v>619</v>
      </c>
      <c r="B48" s="182" t="n">
        <f aca="false">B27</f>
        <v>0.111111111111111</v>
      </c>
      <c r="C48" s="183" t="n">
        <f aca="false">C27</f>
        <v>198.441481481482</v>
      </c>
      <c r="D48" s="183" t="n">
        <f aca="false">D27</f>
        <v>289.346203703704</v>
      </c>
      <c r="E48" s="183" t="n">
        <f aca="false">E27</f>
        <v>576.359722222222</v>
      </c>
      <c r="F48" s="184" t="n">
        <f aca="false">F27</f>
        <v>671.414068022222</v>
      </c>
      <c r="AMF48" s="116"/>
    </row>
    <row r="49" customFormat="false" ht="15.75" hidden="false" customHeight="true" outlineLevel="0" collapsed="false">
      <c r="A49" s="169" t="s">
        <v>641</v>
      </c>
      <c r="B49" s="182" t="n">
        <f aca="false">B38</f>
        <v>0.368</v>
      </c>
      <c r="C49" s="183" t="n">
        <f aca="false">C38</f>
        <v>730.28</v>
      </c>
      <c r="D49" s="183" t="n">
        <f aca="false">D38</f>
        <v>1064.79</v>
      </c>
      <c r="E49" s="183" t="n">
        <f aca="false">E38</f>
        <v>2195.45</v>
      </c>
      <c r="F49" s="184" t="n">
        <f aca="false">F38</f>
        <v>2545.24</v>
      </c>
      <c r="AMF49" s="116"/>
    </row>
    <row r="50" customFormat="false" ht="15.75" hidden="false" customHeight="true" outlineLevel="0" collapsed="false">
      <c r="A50" s="169" t="s">
        <v>632</v>
      </c>
      <c r="B50" s="182"/>
      <c r="C50" s="183" t="n">
        <f aca="false">C46</f>
        <v>627.01</v>
      </c>
      <c r="D50" s="183" t="n">
        <f aca="false">D46</f>
        <v>589.25</v>
      </c>
      <c r="E50" s="183" t="n">
        <f aca="false">E46</f>
        <v>743.1</v>
      </c>
      <c r="F50" s="184" t="n">
        <f aca="false">F46</f>
        <v>743.1</v>
      </c>
      <c r="AMF50" s="116"/>
    </row>
    <row r="51" customFormat="false" ht="15.75" hidden="false" customHeight="true" outlineLevel="0" collapsed="false">
      <c r="A51" s="159" t="s">
        <v>7</v>
      </c>
      <c r="B51" s="160"/>
      <c r="C51" s="161" t="n">
        <f aca="false">SUM(C48:C50)</f>
        <v>1555.73148148148</v>
      </c>
      <c r="D51" s="161" t="n">
        <f aca="false">SUM(D48:D50)</f>
        <v>1943.3862037037</v>
      </c>
      <c r="E51" s="161" t="n">
        <f aca="false">SUM(E48:E50)</f>
        <v>3514.90972222222</v>
      </c>
      <c r="F51" s="162" t="n">
        <f aca="false">SUM(F48:F50)</f>
        <v>3959.75406802222</v>
      </c>
      <c r="AMF51" s="116"/>
    </row>
    <row r="52" customFormat="false" ht="15.75" hidden="false" customHeight="true" outlineLevel="0" collapsed="false">
      <c r="A52" s="163"/>
      <c r="B52" s="163"/>
      <c r="C52" s="164"/>
      <c r="D52" s="164"/>
      <c r="E52" s="164"/>
      <c r="F52" s="165"/>
      <c r="AMF52" s="116"/>
    </row>
    <row r="53" s="185" customFormat="true" ht="15.75" hidden="false" customHeight="true" outlineLevel="0" collapsed="false">
      <c r="A53" s="147" t="s">
        <v>642</v>
      </c>
      <c r="B53" s="147"/>
      <c r="C53" s="147"/>
      <c r="D53" s="147"/>
      <c r="E53" s="147"/>
      <c r="F53" s="147"/>
    </row>
    <row r="54" customFormat="false" ht="15.75" hidden="false" customHeight="true" outlineLevel="0" collapsed="false">
      <c r="A54" s="148" t="s">
        <v>643</v>
      </c>
      <c r="B54" s="149" t="s">
        <v>609</v>
      </c>
      <c r="C54" s="149" t="s">
        <v>610</v>
      </c>
      <c r="D54" s="149" t="s">
        <v>610</v>
      </c>
      <c r="E54" s="149" t="s">
        <v>610</v>
      </c>
      <c r="F54" s="150" t="s">
        <v>610</v>
      </c>
      <c r="AMF54" s="116"/>
    </row>
    <row r="55" customFormat="false" ht="15.75" hidden="false" customHeight="true" outlineLevel="0" collapsed="false">
      <c r="A55" s="169" t="s">
        <v>644</v>
      </c>
      <c r="B55" s="182" t="n">
        <f aca="false">1/12*0.05</f>
        <v>0.00416666666666667</v>
      </c>
      <c r="C55" s="186" t="n">
        <f aca="false">C$21*$B55</f>
        <v>7.44172222222222</v>
      </c>
      <c r="D55" s="186" t="n">
        <f aca="false">D$21*$B55</f>
        <v>10.8504305555556</v>
      </c>
      <c r="E55" s="186" t="n">
        <f aca="false">(E$21-E18)*$B55</f>
        <v>21.6134583333333</v>
      </c>
      <c r="F55" s="187" t="n">
        <f aca="false">(F$21-F18)*$B55</f>
        <v>25.1781102033333</v>
      </c>
      <c r="AMF55" s="116"/>
    </row>
    <row r="56" customFormat="false" ht="15.75" hidden="false" customHeight="true" outlineLevel="0" collapsed="false">
      <c r="A56" s="169" t="s">
        <v>645</v>
      </c>
      <c r="B56" s="182" t="n">
        <f aca="false">B37*B55</f>
        <v>0.000333333333333333</v>
      </c>
      <c r="C56" s="186" t="n">
        <f aca="false">C$21*$B56</f>
        <v>0.595337777777778</v>
      </c>
      <c r="D56" s="186" t="n">
        <f aca="false">D$21*$B56</f>
        <v>0.868034444444444</v>
      </c>
      <c r="E56" s="186" t="n">
        <f aca="false">(E$21-E18)*$B56</f>
        <v>1.72907666666667</v>
      </c>
      <c r="F56" s="187" t="n">
        <f aca="false">(F$21-F18)*$B56</f>
        <v>2.01424881626667</v>
      </c>
      <c r="AMF56" s="116"/>
    </row>
    <row r="57" customFormat="false" ht="15.75" hidden="false" customHeight="true" outlineLevel="0" collapsed="false">
      <c r="A57" s="169" t="s">
        <v>646</v>
      </c>
      <c r="B57" s="182" t="n">
        <v>0</v>
      </c>
      <c r="C57" s="186" t="n">
        <f aca="false">C$21*$B57</f>
        <v>0</v>
      </c>
      <c r="D57" s="186" t="n">
        <f aca="false">D$21*$B57</f>
        <v>0</v>
      </c>
      <c r="E57" s="186" t="n">
        <f aca="false">E$21*$B57</f>
        <v>0</v>
      </c>
      <c r="F57" s="187" t="n">
        <f aca="false">F$21*$B57</f>
        <v>0</v>
      </c>
      <c r="AMF57" s="116"/>
    </row>
    <row r="58" customFormat="false" ht="15.75" hidden="false" customHeight="true" outlineLevel="0" collapsed="false">
      <c r="A58" s="169" t="s">
        <v>647</v>
      </c>
      <c r="B58" s="182" t="n">
        <f aca="false">7/12*1/30</f>
        <v>0.0194444444444444</v>
      </c>
      <c r="C58" s="186" t="n">
        <f aca="false">C$21*$B58</f>
        <v>34.728037037037</v>
      </c>
      <c r="D58" s="186" t="n">
        <f aca="false">D$21*$B58</f>
        <v>50.6353425925926</v>
      </c>
      <c r="E58" s="186" t="n">
        <f aca="false">(E$21-E18)*$B58</f>
        <v>100.862805555556</v>
      </c>
      <c r="F58" s="187" t="n">
        <f aca="false">(F$21-F18)*$B58</f>
        <v>117.497847615556</v>
      </c>
      <c r="AMF58" s="116"/>
    </row>
    <row r="59" customFormat="false" ht="15.75" hidden="false" customHeight="true" outlineLevel="0" collapsed="false">
      <c r="A59" s="169" t="s">
        <v>648</v>
      </c>
      <c r="B59" s="182" t="n">
        <f aca="false">B38*B58</f>
        <v>0.00715555555555556</v>
      </c>
      <c r="C59" s="186" t="n">
        <f aca="false">C$21*$B59</f>
        <v>12.7799176296296</v>
      </c>
      <c r="D59" s="186" t="n">
        <f aca="false">D$21*$B59</f>
        <v>18.6338060740741</v>
      </c>
      <c r="E59" s="186" t="n">
        <f aca="false">(E$21-E18)*$B59</f>
        <v>37.1175124444444</v>
      </c>
      <c r="F59" s="187" t="n">
        <f aca="false">(F$21-F18)*$B59</f>
        <v>43.2392079225244</v>
      </c>
      <c r="AMF59" s="116"/>
    </row>
    <row r="60" customFormat="false" ht="15.75" hidden="false" customHeight="true" outlineLevel="0" collapsed="false">
      <c r="A60" s="169" t="s">
        <v>649</v>
      </c>
      <c r="B60" s="182" t="n">
        <f aca="false">B37*40/100*90/100*(1+1/12+1/12+1/3*1/12)</f>
        <v>0.0344</v>
      </c>
      <c r="C60" s="186" t="n">
        <f aca="false">C$21*$B60</f>
        <v>61.4388586666667</v>
      </c>
      <c r="D60" s="186" t="n">
        <f aca="false">D$21*$B60</f>
        <v>89.5811546666666</v>
      </c>
      <c r="E60" s="186" t="n">
        <f aca="false">(E$21-E18)*$B60</f>
        <v>178.440712</v>
      </c>
      <c r="F60" s="187" t="n">
        <f aca="false">(F$21-F18)*$B60</f>
        <v>207.87047783872</v>
      </c>
      <c r="AMF60" s="116"/>
    </row>
    <row r="61" customFormat="false" ht="15.75" hidden="false" customHeight="true" outlineLevel="0" collapsed="false">
      <c r="A61" s="159" t="s">
        <v>7</v>
      </c>
      <c r="B61" s="170" t="n">
        <f aca="false">SUM(B55:B60)</f>
        <v>0.0655</v>
      </c>
      <c r="C61" s="188" t="n">
        <f aca="false">SUM(C55:C60)</f>
        <v>116.983873333333</v>
      </c>
      <c r="D61" s="188" t="n">
        <f aca="false">SUM(D55:D60)</f>
        <v>170.568768333333</v>
      </c>
      <c r="E61" s="188" t="n">
        <f aca="false">SUM(E55:E60)</f>
        <v>339.763565</v>
      </c>
      <c r="F61" s="189" t="n">
        <f aca="false">SUM(F55:F60)</f>
        <v>395.7998923964</v>
      </c>
      <c r="AMF61" s="116"/>
    </row>
    <row r="62" customFormat="false" ht="15.75" hidden="false" customHeight="true" outlineLevel="0" collapsed="false">
      <c r="A62" s="163"/>
      <c r="B62" s="163"/>
      <c r="C62" s="190"/>
      <c r="D62" s="190"/>
      <c r="E62" s="190"/>
      <c r="F62" s="191"/>
      <c r="AMF62" s="116"/>
    </row>
    <row r="63" customFormat="false" ht="15.75" hidden="false" customHeight="true" outlineLevel="0" collapsed="false">
      <c r="A63" s="147" t="s">
        <v>650</v>
      </c>
      <c r="B63" s="147"/>
      <c r="C63" s="147"/>
      <c r="D63" s="147"/>
      <c r="E63" s="147"/>
      <c r="F63" s="147"/>
      <c r="AMF63" s="116"/>
    </row>
    <row r="64" customFormat="false" ht="15.75" hidden="false" customHeight="true" outlineLevel="0" collapsed="false">
      <c r="A64" s="166" t="s">
        <v>651</v>
      </c>
      <c r="B64" s="167" t="s">
        <v>633</v>
      </c>
      <c r="C64" s="167" t="s">
        <v>610</v>
      </c>
      <c r="D64" s="167" t="s">
        <v>610</v>
      </c>
      <c r="E64" s="167" t="s">
        <v>610</v>
      </c>
      <c r="F64" s="168" t="s">
        <v>610</v>
      </c>
      <c r="AMF64" s="116"/>
    </row>
    <row r="65" customFormat="false" ht="15.75" hidden="false" customHeight="true" outlineLevel="0" collapsed="false">
      <c r="A65" s="169" t="s">
        <v>652</v>
      </c>
      <c r="B65" s="157" t="n">
        <f aca="false">1/12</f>
        <v>0.0833333333333333</v>
      </c>
      <c r="C65" s="174" t="n">
        <f aca="false">$B65*(C$21+(C$51-C$40-C$41)+C$61)</f>
        <v>237.953224012346</v>
      </c>
      <c r="D65" s="174" t="n">
        <f aca="false">$B65*(D$21+(D$51-D$40-D$41)+D$61)</f>
        <v>346.044025447531</v>
      </c>
      <c r="E65" s="174" t="n">
        <f aca="false">$B65*(E$21+(E$51-E$40-E$41)+E$61)</f>
        <v>712.376523935185</v>
      </c>
      <c r="F65" s="175" t="n">
        <f aca="false">$B65*(F$21+(F$51-F$40-F$41)+F$61)</f>
        <v>825.409617434885</v>
      </c>
      <c r="AMF65" s="116"/>
    </row>
    <row r="66" customFormat="false" ht="15.75" hidden="false" customHeight="true" outlineLevel="0" collapsed="false">
      <c r="A66" s="169" t="s">
        <v>653</v>
      </c>
      <c r="B66" s="157" t="n">
        <f aca="false">(2.96/30/12)</f>
        <v>0.00822222222222222</v>
      </c>
      <c r="C66" s="174" t="n">
        <f aca="false">$B66*(C$21+(C$51-C$40-C$41)+C$61)</f>
        <v>23.4780514358848</v>
      </c>
      <c r="D66" s="174" t="n">
        <f aca="false">$B66*(D$21+(D$51-D$40-D$41)+D$61)</f>
        <v>34.143010510823</v>
      </c>
      <c r="E66" s="174" t="n">
        <f aca="false">$B66*(E$21+(E$51-E$40-E$41)+E$61)</f>
        <v>70.2878170282716</v>
      </c>
      <c r="F66" s="175" t="n">
        <f aca="false">$B66*(F$21+(F$51-F$40-F$41)+F$61)</f>
        <v>81.4404155869087</v>
      </c>
      <c r="AMF66" s="116"/>
    </row>
    <row r="67" customFormat="false" ht="15.75" hidden="false" customHeight="true" outlineLevel="0" collapsed="false">
      <c r="A67" s="169" t="s">
        <v>654</v>
      </c>
      <c r="B67" s="192" t="n">
        <f aca="false">(((20/30/12)*(0.89*0.01356)))</f>
        <v>0.000670466666666667</v>
      </c>
      <c r="C67" s="174" t="n">
        <f aca="false">$B67*(C$21+(C$51-C$40-C$41)+C$61)</f>
        <v>1.91447645911373</v>
      </c>
      <c r="D67" s="174" t="n">
        <f aca="false">$B67*(D$21+(D$51-D$40-D$41)+D$61)</f>
        <v>2.78413181114065</v>
      </c>
      <c r="E67" s="174" t="n">
        <f aca="false">$B67*(E$21+(E$51-E$40-E$41)+E$61)</f>
        <v>5.73149656097293</v>
      </c>
      <c r="F67" s="175" t="n">
        <f aca="false">$B67*(F$21+(F$51-F$40-F$41)+F$61)</f>
        <v>6.64091561803411</v>
      </c>
      <c r="AMF67" s="116"/>
    </row>
    <row r="68" customFormat="false" ht="15.75" hidden="false" customHeight="true" outlineLevel="0" collapsed="false">
      <c r="A68" s="169" t="s">
        <v>655</v>
      </c>
      <c r="B68" s="192" t="n">
        <f aca="false">((15/30/12)*(148775/46236176)*100)</f>
        <v>0.0134071605171962</v>
      </c>
      <c r="C68" s="174" t="n">
        <f aca="false">$B68*(C$21+(C$51-C$40-C$41)+C$61)</f>
        <v>38.2833248390143</v>
      </c>
      <c r="D68" s="174" t="n">
        <f aca="false">$B68*(D$21+(D$51-D$40-D$41)+D$61)</f>
        <v>55.6736135423012</v>
      </c>
      <c r="E68" s="174" t="n">
        <f aca="false">$B68*(E$21+(E$51-E$40-E$41)+E$61)</f>
        <v>114.611356860975</v>
      </c>
      <c r="F68" s="175" t="n">
        <f aca="false">$B68*(F$21+(F$51-F$40-F$41)+F$61)</f>
        <v>132.796790800644</v>
      </c>
      <c r="AMF68" s="116"/>
    </row>
    <row r="69" customFormat="false" ht="15.75" hidden="false" customHeight="true" outlineLevel="0" collapsed="false">
      <c r="A69" s="169" t="s">
        <v>656</v>
      </c>
      <c r="B69" s="157" t="n">
        <f aca="false">(((180/30/12)*(0.01356*0.11)*B38))</f>
        <v>0.0002744544</v>
      </c>
      <c r="C69" s="174" t="n">
        <f aca="false">$B69*(C$21+(C$51-C$40-C$41)+C$61)</f>
        <v>0.783687711892487</v>
      </c>
      <c r="D69" s="174" t="n">
        <f aca="false">$B69*(D$21+(D$51-D$40-D$41)+D$61)</f>
        <v>1.13967966453344</v>
      </c>
      <c r="E69" s="174" t="n">
        <f aca="false">$B69*(E$21+(E$51-E$40-E$41)+E$61)</f>
        <v>2.3461784574086</v>
      </c>
      <c r="F69" s="175" t="n">
        <f aca="false">$B69*(F$21+(F$51-F$40-F$41)+F$61)</f>
        <v>2.71844761568785</v>
      </c>
      <c r="AMF69" s="116"/>
    </row>
    <row r="70" customFormat="false" ht="15.75" hidden="false" customHeight="true" outlineLevel="0" collapsed="false">
      <c r="A70" s="169" t="s">
        <v>657</v>
      </c>
      <c r="B70" s="157"/>
      <c r="C70" s="174"/>
      <c r="D70" s="174"/>
      <c r="E70" s="174"/>
      <c r="F70" s="175"/>
      <c r="AMF70" s="116"/>
    </row>
    <row r="71" customFormat="false" ht="15.75" hidden="false" customHeight="true" outlineLevel="0" collapsed="false">
      <c r="A71" s="193" t="s">
        <v>658</v>
      </c>
      <c r="B71" s="194" t="n">
        <f aca="false">SUM(B65:B70)</f>
        <v>0.105907637139418</v>
      </c>
      <c r="C71" s="195" t="n">
        <f aca="false">SUM(C65:C70)</f>
        <v>302.412764458251</v>
      </c>
      <c r="D71" s="195" t="n">
        <f aca="false">SUM(D65:D70)</f>
        <v>439.784460976329</v>
      </c>
      <c r="E71" s="195" t="n">
        <f aca="false">SUM(E65:E70)</f>
        <v>905.353372842813</v>
      </c>
      <c r="F71" s="196" t="n">
        <f aca="false">SUM(F65:F70)</f>
        <v>1049.00618705616</v>
      </c>
      <c r="AMF71" s="116"/>
    </row>
    <row r="72" customFormat="false" ht="15.75" hidden="false" customHeight="true" outlineLevel="0" collapsed="false">
      <c r="A72" s="166" t="s">
        <v>659</v>
      </c>
      <c r="B72" s="167" t="s">
        <v>633</v>
      </c>
      <c r="C72" s="167" t="s">
        <v>610</v>
      </c>
      <c r="D72" s="167" t="s">
        <v>610</v>
      </c>
      <c r="E72" s="167" t="s">
        <v>610</v>
      </c>
      <c r="F72" s="168" t="s">
        <v>610</v>
      </c>
      <c r="AMF72" s="116"/>
    </row>
    <row r="73" customFormat="false" ht="15.75" hidden="false" customHeight="true" outlineLevel="0" collapsed="false">
      <c r="A73" s="169" t="s">
        <v>660</v>
      </c>
      <c r="B73" s="157" t="n">
        <v>0</v>
      </c>
      <c r="C73" s="174"/>
      <c r="D73" s="174"/>
      <c r="E73" s="174"/>
      <c r="F73" s="175"/>
      <c r="AMF73" s="116"/>
    </row>
    <row r="74" customFormat="false" ht="15.75" hidden="false" customHeight="true" outlineLevel="0" collapsed="false">
      <c r="A74" s="193" t="s">
        <v>7</v>
      </c>
      <c r="B74" s="194"/>
      <c r="C74" s="195"/>
      <c r="D74" s="195"/>
      <c r="E74" s="195" t="n">
        <f aca="false">E73</f>
        <v>0</v>
      </c>
      <c r="F74" s="196" t="n">
        <f aca="false">F73</f>
        <v>0</v>
      </c>
      <c r="AMF74" s="116"/>
    </row>
    <row r="75" customFormat="false" ht="15.75" hidden="false" customHeight="true" outlineLevel="0" collapsed="false">
      <c r="A75" s="148" t="s">
        <v>661</v>
      </c>
      <c r="B75" s="149" t="s">
        <v>633</v>
      </c>
      <c r="C75" s="149" t="s">
        <v>610</v>
      </c>
      <c r="D75" s="149" t="s">
        <v>610</v>
      </c>
      <c r="E75" s="149" t="s">
        <v>610</v>
      </c>
      <c r="F75" s="150" t="s">
        <v>610</v>
      </c>
      <c r="AMF75" s="116"/>
    </row>
    <row r="76" customFormat="false" ht="15.75" hidden="false" customHeight="true" outlineLevel="0" collapsed="false">
      <c r="A76" s="169" t="s">
        <v>651</v>
      </c>
      <c r="B76" s="182" t="n">
        <f aca="false">B71</f>
        <v>0.105907637139418</v>
      </c>
      <c r="C76" s="183" t="n">
        <f aca="false">C71</f>
        <v>302.412764458251</v>
      </c>
      <c r="D76" s="183" t="n">
        <f aca="false">D71</f>
        <v>439.784460976329</v>
      </c>
      <c r="E76" s="183" t="n">
        <f aca="false">E71</f>
        <v>905.353372842813</v>
      </c>
      <c r="F76" s="184" t="n">
        <f aca="false">F71</f>
        <v>1049.00618705616</v>
      </c>
      <c r="AMF76" s="116"/>
    </row>
    <row r="77" customFormat="false" ht="15.75" hidden="false" customHeight="true" outlineLevel="0" collapsed="false">
      <c r="A77" s="169" t="s">
        <v>659</v>
      </c>
      <c r="B77" s="182" t="n">
        <f aca="false">B73</f>
        <v>0</v>
      </c>
      <c r="C77" s="183" t="n">
        <f aca="false">C73</f>
        <v>0</v>
      </c>
      <c r="D77" s="183" t="n">
        <f aca="false">D73</f>
        <v>0</v>
      </c>
      <c r="E77" s="183" t="n">
        <f aca="false">E74</f>
        <v>0</v>
      </c>
      <c r="F77" s="184" t="n">
        <f aca="false">F73</f>
        <v>0</v>
      </c>
      <c r="G77" s="197"/>
      <c r="AMF77" s="116"/>
    </row>
    <row r="78" customFormat="false" ht="15.75" hidden="false" customHeight="true" outlineLevel="0" collapsed="false">
      <c r="A78" s="159" t="s">
        <v>7</v>
      </c>
      <c r="B78" s="160"/>
      <c r="C78" s="161" t="n">
        <f aca="false">SUM(C76:C77)</f>
        <v>302.412764458251</v>
      </c>
      <c r="D78" s="161" t="n">
        <f aca="false">SUM(D76:D77)</f>
        <v>439.784460976329</v>
      </c>
      <c r="E78" s="161" t="n">
        <f aca="false">SUM(E76:E77)</f>
        <v>905.353372842813</v>
      </c>
      <c r="F78" s="162" t="n">
        <f aca="false">SUM(F76:F77)</f>
        <v>1049.00618705616</v>
      </c>
      <c r="AMF78" s="116"/>
    </row>
    <row r="79" customFormat="false" ht="15.75" hidden="false" customHeight="true" outlineLevel="0" collapsed="false">
      <c r="A79" s="163"/>
      <c r="B79" s="164"/>
      <c r="C79" s="164"/>
      <c r="D79" s="164"/>
      <c r="E79" s="164"/>
      <c r="F79" s="165"/>
      <c r="AMF79" s="116"/>
    </row>
    <row r="80" customFormat="false" ht="15.75" hidden="false" customHeight="true" outlineLevel="0" collapsed="false">
      <c r="A80" s="147" t="s">
        <v>662</v>
      </c>
      <c r="B80" s="147"/>
      <c r="C80" s="147"/>
      <c r="D80" s="147"/>
      <c r="E80" s="147"/>
      <c r="F80" s="147"/>
      <c r="AMF80" s="116"/>
    </row>
    <row r="81" customFormat="false" ht="15.75" hidden="false" customHeight="true" outlineLevel="0" collapsed="false">
      <c r="A81" s="148" t="s">
        <v>663</v>
      </c>
      <c r="B81" s="149" t="s">
        <v>633</v>
      </c>
      <c r="C81" s="149" t="s">
        <v>610</v>
      </c>
      <c r="D81" s="149" t="s">
        <v>610</v>
      </c>
      <c r="E81" s="149" t="s">
        <v>610</v>
      </c>
      <c r="F81" s="150" t="s">
        <v>610</v>
      </c>
      <c r="AMF81" s="116"/>
    </row>
    <row r="82" customFormat="false" ht="15.75" hidden="false" customHeight="true" outlineLevel="0" collapsed="false">
      <c r="A82" s="169" t="s">
        <v>664</v>
      </c>
      <c r="B82" s="198" t="n">
        <f aca="false">Insumos!F12</f>
        <v>86.8083333333333</v>
      </c>
      <c r="C82" s="154" t="n">
        <f aca="false">Insumos!$F$12</f>
        <v>86.8083333333333</v>
      </c>
      <c r="D82" s="154" t="n">
        <f aca="false">Insumos!$F$12</f>
        <v>86.8083333333333</v>
      </c>
      <c r="E82" s="154" t="n">
        <f aca="false">Insumos!$F$12*2</f>
        <v>173.616666666667</v>
      </c>
      <c r="F82" s="155" t="n">
        <f aca="false">Insumos!$F$12*2</f>
        <v>173.616666666667</v>
      </c>
      <c r="AMF82" s="116"/>
    </row>
    <row r="83" customFormat="false" ht="15.75" hidden="false" customHeight="true" outlineLevel="0" collapsed="false">
      <c r="A83" s="199" t="s">
        <v>665</v>
      </c>
      <c r="B83" s="198"/>
      <c r="C83" s="154"/>
      <c r="D83" s="154"/>
      <c r="E83" s="154"/>
      <c r="F83" s="155"/>
      <c r="AMF83" s="116"/>
    </row>
    <row r="84" customFormat="false" ht="15.75" hidden="false" customHeight="true" outlineLevel="0" collapsed="false">
      <c r="A84" s="199" t="s">
        <v>666</v>
      </c>
      <c r="B84" s="200" t="n">
        <f aca="false">Insumos!F26</f>
        <v>13.7157173913044</v>
      </c>
      <c r="C84" s="154" t="n">
        <f aca="false">Insumos!$F$26</f>
        <v>13.7157173913044</v>
      </c>
      <c r="D84" s="154" t="n">
        <f aca="false">Insumos!$F$26</f>
        <v>13.7157173913044</v>
      </c>
      <c r="E84" s="154" t="n">
        <f aca="false">Insumos!$F$26</f>
        <v>13.7157173913044</v>
      </c>
      <c r="F84" s="155" t="n">
        <f aca="false">Insumos!$F$26</f>
        <v>13.7157173913044</v>
      </c>
      <c r="AMF84" s="116"/>
    </row>
    <row r="85" customFormat="false" ht="15.75" hidden="false" customHeight="true" outlineLevel="0" collapsed="false">
      <c r="A85" s="199" t="s">
        <v>667</v>
      </c>
      <c r="B85" s="198"/>
      <c r="C85" s="154"/>
      <c r="D85" s="154"/>
      <c r="E85" s="154"/>
      <c r="F85" s="155"/>
      <c r="AMF85" s="116"/>
    </row>
    <row r="86" customFormat="false" ht="15.75" hidden="false" customHeight="true" outlineLevel="0" collapsed="false">
      <c r="A86" s="199" t="s">
        <v>668</v>
      </c>
      <c r="B86" s="157"/>
      <c r="C86" s="154"/>
      <c r="D86" s="154"/>
      <c r="E86" s="154"/>
      <c r="F86" s="155"/>
      <c r="AMF86" s="116"/>
    </row>
    <row r="87" customFormat="false" ht="15.75" hidden="false" customHeight="true" outlineLevel="0" collapsed="false">
      <c r="A87" s="199" t="s">
        <v>669</v>
      </c>
      <c r="B87" s="198"/>
      <c r="C87" s="154"/>
      <c r="D87" s="154"/>
      <c r="E87" s="154"/>
      <c r="F87" s="155"/>
      <c r="AMF87" s="116"/>
    </row>
    <row r="88" customFormat="false" ht="15.75" hidden="false" customHeight="true" outlineLevel="0" collapsed="false">
      <c r="A88" s="199" t="s">
        <v>670</v>
      </c>
      <c r="B88" s="198"/>
      <c r="C88" s="154"/>
      <c r="D88" s="154"/>
      <c r="E88" s="154"/>
      <c r="F88" s="155"/>
      <c r="AMF88" s="116"/>
    </row>
    <row r="89" customFormat="false" ht="15.75" hidden="false" customHeight="true" outlineLevel="0" collapsed="false">
      <c r="A89" s="193" t="s">
        <v>7</v>
      </c>
      <c r="B89" s="201"/>
      <c r="C89" s="195" t="n">
        <f aca="false">SUM(C82:C88)</f>
        <v>100.524050724638</v>
      </c>
      <c r="D89" s="195" t="n">
        <f aca="false">SUM(D82:D88)</f>
        <v>100.524050724638</v>
      </c>
      <c r="E89" s="195" t="n">
        <f aca="false">SUM(E82:E88)</f>
        <v>187.332384057971</v>
      </c>
      <c r="F89" s="196" t="n">
        <f aca="false">SUM(F82:F88)</f>
        <v>187.332384057971</v>
      </c>
      <c r="AMF89" s="116"/>
    </row>
    <row r="90" customFormat="false" ht="15.75" hidden="false" customHeight="true" outlineLevel="0" collapsed="false">
      <c r="A90" s="202"/>
      <c r="B90" s="203"/>
      <c r="C90" s="164"/>
      <c r="D90" s="164"/>
      <c r="E90" s="164"/>
      <c r="F90" s="165"/>
      <c r="AMF90" s="116"/>
    </row>
    <row r="91" customFormat="false" ht="15.75" hidden="false" customHeight="true" outlineLevel="0" collapsed="false">
      <c r="A91" s="147" t="s">
        <v>671</v>
      </c>
      <c r="B91" s="147"/>
      <c r="C91" s="147"/>
      <c r="D91" s="147"/>
      <c r="E91" s="147"/>
      <c r="F91" s="147"/>
      <c r="AMF91" s="116"/>
    </row>
    <row r="92" customFormat="false" ht="15.75" hidden="false" customHeight="true" outlineLevel="0" collapsed="false">
      <c r="A92" s="148" t="s">
        <v>672</v>
      </c>
      <c r="B92" s="149" t="s">
        <v>609</v>
      </c>
      <c r="C92" s="149" t="s">
        <v>610</v>
      </c>
      <c r="D92" s="149" t="s">
        <v>610</v>
      </c>
      <c r="E92" s="149" t="s">
        <v>610</v>
      </c>
      <c r="F92" s="150" t="s">
        <v>610</v>
      </c>
      <c r="AMF92" s="116"/>
    </row>
    <row r="93" customFormat="false" ht="15.75" hidden="false" customHeight="true" outlineLevel="0" collapsed="false">
      <c r="A93" s="152" t="s">
        <v>673</v>
      </c>
      <c r="B93" s="157" t="n">
        <f aca="false">MC!B75</f>
        <v>0.03</v>
      </c>
      <c r="C93" s="174" t="n">
        <f aca="false">(C$21+C$51+C$61+C$78+C$89)*$B$93</f>
        <v>115.849965099931</v>
      </c>
      <c r="D93" s="174" t="n">
        <f aca="false">(D$21+D$51+D$61+D$78+D$89)*$B$93</f>
        <v>157.75100451214</v>
      </c>
      <c r="E93" s="174" t="n">
        <f aca="false">(E$21+E$51+E$61+E$78+E$89)*$B$93</f>
        <v>310.10592132369</v>
      </c>
      <c r="F93" s="175" t="n">
        <f aca="false">(F$21+F$51+F$61+F$78+F$89)*$B$93</f>
        <v>355.107419409983</v>
      </c>
      <c r="AMF93" s="116"/>
    </row>
    <row r="94" customFormat="false" ht="15.75" hidden="false" customHeight="true" outlineLevel="0" collapsed="false">
      <c r="A94" s="152" t="s">
        <v>674</v>
      </c>
      <c r="B94" s="157" t="n">
        <f aca="false">MC!B76</f>
        <v>0.0679</v>
      </c>
      <c r="C94" s="174" t="n">
        <f aca="false">(C$21+C$51+C$61+C$78+C$89+C$93)*$B$94</f>
        <v>270.073300306463</v>
      </c>
      <c r="D94" s="174" t="n">
        <f aca="false">(D$21+D$51+D$61+D$78+D$89+D$93)*$B$94</f>
        <v>367.754400085518</v>
      </c>
      <c r="E94" s="174" t="n">
        <f aca="false">(E$21+E$51+E$61+E$78+E$89+E$93)*$B$94</f>
        <v>722.929260653831</v>
      </c>
      <c r="F94" s="175" t="n">
        <f aca="false">(F$21+F$51+F$61+F$78+F$89+F$93)*$B$94</f>
        <v>827.838253042532</v>
      </c>
      <c r="AMF94" s="116"/>
    </row>
    <row r="95" customFormat="false" ht="15.75" hidden="false" customHeight="true" outlineLevel="0" collapsed="false">
      <c r="A95" s="204" t="s">
        <v>679</v>
      </c>
      <c r="B95" s="205" t="n">
        <f aca="false">B96+B97</f>
        <v>0.0665</v>
      </c>
      <c r="C95" s="206" t="n">
        <f aca="false">((C$21+C$51+C$61+C$78+C$89+C$93+C$94)/(1-($B$95)))*$B$95</f>
        <v>302.586666439249</v>
      </c>
      <c r="D95" s="206" t="n">
        <f aca="false">((D$21+D$51+D$61+D$78+D$89+D$93+D$94)/(1-($B$95)))*$B$95</f>
        <v>412.027319486865</v>
      </c>
      <c r="E95" s="206" t="n">
        <f aca="false">((E$21+E$51+E$61+E$78+E$89+E$93+E$94)/(1-($B$95)))*$B$95</f>
        <v>809.96068402323</v>
      </c>
      <c r="F95" s="207" t="n">
        <f aca="false">((F$21+F$51+F$61+F$78+F$89+F$93+F$94)/(1-($B$95)))*$B$95</f>
        <v>927.499375372491</v>
      </c>
      <c r="G95" s="156"/>
      <c r="AMF95" s="116"/>
    </row>
    <row r="96" customFormat="false" ht="15.75" hidden="false" customHeight="true" outlineLevel="0" collapsed="false">
      <c r="A96" s="152" t="s">
        <v>676</v>
      </c>
      <c r="B96" s="157" t="n">
        <f aca="false">0.0065+0.03</f>
        <v>0.0365</v>
      </c>
      <c r="C96" s="208" t="n">
        <f aca="false">((C$21+C$51+C$61+C$78+C$89+C$93+C$94)/(1-($B$95)))*$B$96</f>
        <v>166.081403383949</v>
      </c>
      <c r="D96" s="208" t="n">
        <f aca="false">((D$21+D$51+D$61+D$78+D$89+D$93+D$94)/(1-($B$95)))*$B$96</f>
        <v>226.150333252189</v>
      </c>
      <c r="E96" s="208" t="n">
        <f aca="false">((E$21+E$51+E$61+E$78+E$89+E$93+E$94)/(1-($B$95)))*$B$96</f>
        <v>444.564886719517</v>
      </c>
      <c r="F96" s="209" t="n">
        <f aca="false">((F$21+F$51+F$61+F$78+F$89+F$93+F$94)/(1-($B$95)))*$B$96</f>
        <v>509.078604527758</v>
      </c>
      <c r="AMF96" s="116"/>
    </row>
    <row r="97" customFormat="false" ht="15.75" hidden="false" customHeight="true" outlineLevel="0" collapsed="false">
      <c r="A97" s="152" t="s">
        <v>677</v>
      </c>
      <c r="B97" s="157" t="n">
        <v>0.03</v>
      </c>
      <c r="C97" s="208" t="n">
        <f aca="false">((C$21+C$51+C$61+C$78+C$89+C$93+C$94)/(1-($B$95)))*$B$97</f>
        <v>136.5052630553</v>
      </c>
      <c r="D97" s="208" t="n">
        <f aca="false">((D$21+D$51+D$61+D$78+D$89+D$93+D$94)/(1-($B$95)))*$B$97</f>
        <v>185.876986234676</v>
      </c>
      <c r="E97" s="208" t="n">
        <f aca="false">((E$21+E$51+E$61+E$78+E$89+E$93+E$94)/(1-($B$95)))*$B$97</f>
        <v>365.395797303713</v>
      </c>
      <c r="F97" s="209" t="n">
        <f aca="false">((F$21+F$51+F$61+F$78+F$89+F$93+F$94)/(1-($B$95)))*$B$97</f>
        <v>418.420770844733</v>
      </c>
      <c r="AMF97" s="116"/>
    </row>
    <row r="98" customFormat="false" ht="15.75" hidden="false" customHeight="true" outlineLevel="0" collapsed="false">
      <c r="A98" s="253" t="s">
        <v>683</v>
      </c>
      <c r="B98" s="211" t="n">
        <f aca="false">B97</f>
        <v>0.03</v>
      </c>
      <c r="C98" s="212" t="n">
        <f aca="false">C$93+C$94+C$95</f>
        <v>688.509931845643</v>
      </c>
      <c r="D98" s="212" t="n">
        <f aca="false">D$93+D$94+D$95</f>
        <v>937.532724084523</v>
      </c>
      <c r="E98" s="212" t="n">
        <f aca="false">E$93+E$94+E$95</f>
        <v>1842.99586600075</v>
      </c>
      <c r="F98" s="213" t="n">
        <f aca="false">F$93+F$94+F$95</f>
        <v>2110.44504782501</v>
      </c>
      <c r="AMF98" s="116"/>
    </row>
    <row r="99" customFormat="false" ht="15.75" hidden="false" customHeight="true" outlineLevel="0" collapsed="false">
      <c r="A99" s="152" t="s">
        <v>684</v>
      </c>
      <c r="B99" s="214"/>
      <c r="C99" s="215"/>
      <c r="D99" s="215"/>
      <c r="E99" s="215"/>
      <c r="F99" s="216"/>
      <c r="AMF99" s="116"/>
    </row>
    <row r="100" customFormat="false" ht="15.75" hidden="false" customHeight="true" outlineLevel="0" collapsed="false">
      <c r="A100" s="193"/>
      <c r="B100" s="194"/>
      <c r="C100" s="195"/>
      <c r="D100" s="195"/>
      <c r="E100" s="195"/>
      <c r="F100" s="196"/>
      <c r="AMF100" s="116"/>
    </row>
    <row r="101" customFormat="false" ht="15.75" hidden="false" customHeight="true" outlineLevel="0" collapsed="false">
      <c r="A101" s="217"/>
      <c r="B101" s="217"/>
      <c r="C101" s="217"/>
      <c r="D101" s="217"/>
      <c r="E101" s="217"/>
      <c r="F101" s="217"/>
      <c r="AMF101" s="116"/>
    </row>
    <row r="102" customFormat="false" ht="15.75" hidden="false" customHeight="true" outlineLevel="0" collapsed="false">
      <c r="A102" s="254"/>
      <c r="B102" s="254"/>
      <c r="C102" s="254"/>
      <c r="D102" s="254"/>
      <c r="E102" s="254"/>
      <c r="F102" s="254"/>
      <c r="AMF102" s="116"/>
    </row>
    <row r="103" customFormat="false" ht="66" hidden="false" customHeight="true" outlineLevel="0" collapsed="false">
      <c r="A103" s="255" t="s">
        <v>685</v>
      </c>
      <c r="B103" s="255"/>
      <c r="C103" s="256" t="str">
        <f aca="false">C11</f>
        <v>Posto 30 horas semanais de segunda sexta DIURNO (1 Vigilante)</v>
      </c>
      <c r="D103" s="256" t="str">
        <f aca="false">D11</f>
        <v>Posto 44 horas semanais de segunda sexta DIURNO (1 vigilante)</v>
      </c>
      <c r="E103" s="256" t="str">
        <f aca="false">E11</f>
        <v>Posto 12 x 36 DIURNO de segunda a domingo (2 vigilantes)</v>
      </c>
      <c r="F103" s="257" t="str">
        <f aca="false">F11</f>
        <v>Posto 12 x 36 NOTURNO de segunda a domingo (2 vigilantes)</v>
      </c>
      <c r="AMF103" s="116"/>
    </row>
    <row r="104" customFormat="false" ht="15.75" hidden="false" customHeight="true" outlineLevel="0" collapsed="false">
      <c r="A104" s="222" t="s">
        <v>686</v>
      </c>
      <c r="B104" s="223" t="s">
        <v>2</v>
      </c>
      <c r="C104" s="224" t="s">
        <v>610</v>
      </c>
      <c r="D104" s="224" t="s">
        <v>610</v>
      </c>
      <c r="E104" s="224" t="s">
        <v>610</v>
      </c>
      <c r="F104" s="225" t="s">
        <v>610</v>
      </c>
      <c r="AMF104" s="116"/>
    </row>
    <row r="105" customFormat="false" ht="14.25" hidden="false" customHeight="true" outlineLevel="0" collapsed="false">
      <c r="A105" s="226" t="s">
        <v>687</v>
      </c>
      <c r="B105" s="227"/>
      <c r="C105" s="228" t="n">
        <f aca="false">C21</f>
        <v>1786.01333333333</v>
      </c>
      <c r="D105" s="228" t="n">
        <f aca="false">D21</f>
        <v>2604.10333333333</v>
      </c>
      <c r="E105" s="228" t="n">
        <f aca="false">E21</f>
        <v>5389.505</v>
      </c>
      <c r="F105" s="229" t="n">
        <f aca="false">F21</f>
        <v>6245.0214488</v>
      </c>
      <c r="AMF105" s="116"/>
    </row>
    <row r="106" customFormat="false" ht="14.25" hidden="false" customHeight="true" outlineLevel="0" collapsed="false">
      <c r="A106" s="226" t="s">
        <v>688</v>
      </c>
      <c r="B106" s="227"/>
      <c r="C106" s="228" t="n">
        <f aca="false">C51</f>
        <v>1555.73148148148</v>
      </c>
      <c r="D106" s="228" t="n">
        <f aca="false">D51</f>
        <v>1943.3862037037</v>
      </c>
      <c r="E106" s="228" t="n">
        <f aca="false">E51</f>
        <v>3514.90972222222</v>
      </c>
      <c r="F106" s="229" t="n">
        <f aca="false">F51</f>
        <v>3959.75406802222</v>
      </c>
      <c r="AMF106" s="116"/>
    </row>
    <row r="107" customFormat="false" ht="14.25" hidden="false" customHeight="true" outlineLevel="0" collapsed="false">
      <c r="A107" s="226" t="s">
        <v>689</v>
      </c>
      <c r="B107" s="227"/>
      <c r="C107" s="228" t="n">
        <f aca="false">C61</f>
        <v>116.983873333333</v>
      </c>
      <c r="D107" s="228" t="n">
        <f aca="false">D61</f>
        <v>170.568768333333</v>
      </c>
      <c r="E107" s="228" t="n">
        <f aca="false">E61</f>
        <v>339.763565</v>
      </c>
      <c r="F107" s="229" t="n">
        <f aca="false">F61</f>
        <v>395.7998923964</v>
      </c>
      <c r="AMF107" s="116"/>
    </row>
    <row r="108" customFormat="false" ht="14.25" hidden="false" customHeight="true" outlineLevel="0" collapsed="false">
      <c r="A108" s="226" t="s">
        <v>690</v>
      </c>
      <c r="B108" s="227"/>
      <c r="C108" s="228" t="n">
        <f aca="false">C78</f>
        <v>302.412764458251</v>
      </c>
      <c r="D108" s="228" t="n">
        <f aca="false">D78</f>
        <v>439.784460976329</v>
      </c>
      <c r="E108" s="228" t="n">
        <f aca="false">E78</f>
        <v>905.353372842813</v>
      </c>
      <c r="F108" s="229" t="n">
        <f aca="false">F78</f>
        <v>1049.00618705616</v>
      </c>
      <c r="AMF108" s="116"/>
    </row>
    <row r="109" customFormat="false" ht="15.75" hidden="false" customHeight="true" outlineLevel="0" collapsed="false">
      <c r="A109" s="226" t="s">
        <v>691</v>
      </c>
      <c r="B109" s="227"/>
      <c r="C109" s="228" t="n">
        <f aca="false">C89</f>
        <v>100.524050724638</v>
      </c>
      <c r="D109" s="228" t="n">
        <f aca="false">D89</f>
        <v>100.524050724638</v>
      </c>
      <c r="E109" s="228" t="n">
        <f aca="false">E89</f>
        <v>187.332384057971</v>
      </c>
      <c r="F109" s="229" t="n">
        <f aca="false">F89</f>
        <v>187.332384057971</v>
      </c>
      <c r="AMF109" s="116"/>
    </row>
    <row r="110" customFormat="false" ht="15.75" hidden="false" customHeight="true" outlineLevel="0" collapsed="false">
      <c r="A110" s="226" t="s">
        <v>692</v>
      </c>
      <c r="B110" s="227"/>
      <c r="C110" s="230" t="n">
        <f aca="false">SUM(C105:C109)</f>
        <v>3861.66550333104</v>
      </c>
      <c r="D110" s="230" t="n">
        <f aca="false">SUM(D105:D109)</f>
        <v>5258.36681707134</v>
      </c>
      <c r="E110" s="230" t="n">
        <f aca="false">SUM(E105:E109)</f>
        <v>10336.864044123</v>
      </c>
      <c r="F110" s="231" t="n">
        <f aca="false">SUM(F105:F109)</f>
        <v>11836.9139803328</v>
      </c>
      <c r="AMF110" s="116"/>
    </row>
    <row r="111" customFormat="false" ht="15.75" hidden="false" customHeight="true" outlineLevel="0" collapsed="false">
      <c r="A111" s="226" t="s">
        <v>693</v>
      </c>
      <c r="B111" s="232" t="n">
        <f aca="false">B98</f>
        <v>0.03</v>
      </c>
      <c r="C111" s="230" t="n">
        <f aca="false">C98</f>
        <v>688.509931845643</v>
      </c>
      <c r="D111" s="230" t="n">
        <f aca="false">D98</f>
        <v>937.532724084523</v>
      </c>
      <c r="E111" s="230" t="n">
        <f aca="false">E98</f>
        <v>1842.99586600075</v>
      </c>
      <c r="F111" s="231" t="n">
        <f aca="false">F98</f>
        <v>2110.44504782501</v>
      </c>
      <c r="AMF111" s="116"/>
    </row>
    <row r="112" customFormat="false" ht="15.75" hidden="false" customHeight="true" outlineLevel="0" collapsed="false">
      <c r="A112" s="237" t="s">
        <v>694</v>
      </c>
      <c r="B112" s="238" t="n">
        <f aca="false">B98</f>
        <v>0.03</v>
      </c>
      <c r="C112" s="239" t="n">
        <f aca="false">C$110+C111</f>
        <v>4550.17543517668</v>
      </c>
      <c r="D112" s="239" t="n">
        <f aca="false">D110+D111</f>
        <v>6195.89954115586</v>
      </c>
      <c r="E112" s="239" t="n">
        <f aca="false">E110+E111</f>
        <v>12179.8599101238</v>
      </c>
      <c r="F112" s="240" t="n">
        <f aca="false">F110+F111</f>
        <v>13947.3590281578</v>
      </c>
      <c r="AMF112" s="116"/>
    </row>
    <row r="113" customFormat="false" ht="14.25" hidden="false" customHeight="true" outlineLevel="0" collapsed="false">
      <c r="A113" s="241" t="s">
        <v>695</v>
      </c>
      <c r="B113" s="258" t="n">
        <f aca="false">B97</f>
        <v>0.03</v>
      </c>
      <c r="C113" s="259"/>
      <c r="D113" s="259" t="n">
        <f aca="false">D112/220</f>
        <v>28.1631797325266</v>
      </c>
      <c r="E113" s="259"/>
      <c r="F113" s="251" t="n">
        <f aca="false">(F112/2)/220</f>
        <v>31.6985432458131</v>
      </c>
      <c r="G113" s="260"/>
    </row>
    <row r="115" customFormat="false" ht="58.5" hidden="false" customHeight="true" outlineLevel="0" collapsed="false">
      <c r="A115" s="261" t="s">
        <v>696</v>
      </c>
      <c r="B115" s="261"/>
      <c r="C115" s="261"/>
      <c r="D115" s="261"/>
      <c r="E115" s="261"/>
      <c r="F115" s="261"/>
    </row>
  </sheetData>
  <mergeCells count="17">
    <mergeCell ref="A1:F1"/>
    <mergeCell ref="A2:F2"/>
    <mergeCell ref="A3:F3"/>
    <mergeCell ref="C5:F5"/>
    <mergeCell ref="A12:F12"/>
    <mergeCell ref="A22:B22"/>
    <mergeCell ref="A23:F23"/>
    <mergeCell ref="A52:B52"/>
    <mergeCell ref="A53:F53"/>
    <mergeCell ref="A62:B62"/>
    <mergeCell ref="A63:F63"/>
    <mergeCell ref="A80:F80"/>
    <mergeCell ref="A91:F91"/>
    <mergeCell ref="A101:F101"/>
    <mergeCell ref="A102:F102"/>
    <mergeCell ref="A103:B103"/>
    <mergeCell ref="A115:F1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false"/>
  </sheetPr>
  <dimension ref="A1:AMF115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87" zoomScalePageLayoutView="100" workbookViewId="0">
      <pane xSplit="0" ySplit="11" topLeftCell="A12" activePane="bottomLeft" state="frozen"/>
      <selection pane="topLeft" activeCell="A1" activeCellId="0" sqref="A1"/>
      <selection pane="bottomLeft" activeCell="F21" activeCellId="0" sqref="F21"/>
    </sheetView>
  </sheetViews>
  <sheetFormatPr defaultColWidth="10.30078125" defaultRowHeight="15" zeroHeight="false" outlineLevelRow="0" outlineLevelCol="0"/>
  <cols>
    <col collapsed="false" customWidth="true" hidden="false" outlineLevel="0" max="1" min="1" style="115" width="63.71"/>
    <col collapsed="false" customWidth="true" hidden="false" outlineLevel="0" max="2" min="2" style="115" width="11.42"/>
    <col collapsed="false" customWidth="true" hidden="false" outlineLevel="0" max="3" min="3" style="115" width="17"/>
    <col collapsed="false" customWidth="true" hidden="false" outlineLevel="0" max="4" min="4" style="115" width="16.71"/>
    <col collapsed="false" customWidth="true" hidden="false" outlineLevel="0" max="5" min="5" style="115" width="18.29"/>
    <col collapsed="false" customWidth="true" hidden="false" outlineLevel="0" max="6" min="6" style="115" width="17.29"/>
    <col collapsed="false" customWidth="false" hidden="false" outlineLevel="0" max="1020" min="7" style="115" width="10.29"/>
    <col collapsed="false" customWidth="true" hidden="false" outlineLevel="0" max="1024" min="1021" style="116" width="9.58"/>
  </cols>
  <sheetData>
    <row r="1" customFormat="false" ht="15.75" hidden="false" customHeight="false" outlineLevel="0" collapsed="false">
      <c r="A1" s="117" t="s">
        <v>587</v>
      </c>
      <c r="B1" s="117"/>
      <c r="C1" s="117"/>
      <c r="D1" s="117"/>
      <c r="E1" s="117"/>
      <c r="F1" s="117"/>
      <c r="AMF1" s="116"/>
    </row>
    <row r="2" customFormat="false" ht="15.75" hidden="false" customHeight="false" outlineLevel="0" collapsed="false">
      <c r="A2" s="118" t="s">
        <v>588</v>
      </c>
      <c r="B2" s="118"/>
      <c r="C2" s="118"/>
      <c r="D2" s="118"/>
      <c r="E2" s="118"/>
      <c r="F2" s="118"/>
      <c r="AMF2" s="116"/>
    </row>
    <row r="3" customFormat="false" ht="15.75" hidden="false" customHeight="true" outlineLevel="0" collapsed="false">
      <c r="A3" s="118" t="str">
        <f aca="false">' RS2-a'!A3</f>
        <v>Processo 35014.236158/2024-27</v>
      </c>
      <c r="B3" s="118"/>
      <c r="C3" s="118"/>
      <c r="D3" s="118"/>
      <c r="E3" s="118"/>
      <c r="F3" s="118"/>
      <c r="AMF3" s="116"/>
    </row>
    <row r="4" customFormat="false" ht="36" hidden="false" customHeight="false" outlineLevel="0" collapsed="false">
      <c r="A4" s="119"/>
      <c r="B4" s="120"/>
      <c r="C4" s="121" t="s">
        <v>590</v>
      </c>
      <c r="D4" s="122" t="s">
        <v>591</v>
      </c>
      <c r="E4" s="123" t="s">
        <v>592</v>
      </c>
      <c r="F4" s="124" t="s">
        <v>593</v>
      </c>
      <c r="AMF4" s="116"/>
    </row>
    <row r="5" customFormat="false" ht="15.75" hidden="false" customHeight="false" outlineLevel="0" collapsed="false">
      <c r="A5" s="125"/>
      <c r="B5" s="126" t="s">
        <v>594</v>
      </c>
      <c r="C5" s="127" t="s">
        <v>595</v>
      </c>
      <c r="D5" s="127"/>
      <c r="E5" s="127"/>
      <c r="F5" s="127"/>
      <c r="AMF5" s="116"/>
    </row>
    <row r="6" customFormat="false" ht="15" hidden="false" customHeight="false" outlineLevel="0" collapsed="false">
      <c r="A6" s="128"/>
      <c r="B6" s="126" t="s">
        <v>596</v>
      </c>
      <c r="C6" s="129" t="n">
        <f aca="false">MC!B11</f>
        <v>1348.5</v>
      </c>
      <c r="D6" s="130" t="n">
        <f aca="false">MC!C11</f>
        <v>1977.8</v>
      </c>
      <c r="E6" s="130" t="n">
        <f aca="false">MC!C11</f>
        <v>1977.8</v>
      </c>
      <c r="F6" s="131" t="n">
        <f aca="false">MC!C11</f>
        <v>1977.8</v>
      </c>
      <c r="AMF6" s="116"/>
    </row>
    <row r="7" customFormat="false" ht="15" hidden="false" customHeight="false" outlineLevel="0" collapsed="false">
      <c r="A7" s="128"/>
      <c r="B7" s="126" t="s">
        <v>597</v>
      </c>
      <c r="C7" s="132" t="n">
        <f aca="false">MC!$E11</f>
        <v>45323</v>
      </c>
      <c r="D7" s="133" t="n">
        <f aca="false">MC!$E11</f>
        <v>45323</v>
      </c>
      <c r="E7" s="133" t="n">
        <f aca="false">MC!$E11</f>
        <v>45323</v>
      </c>
      <c r="F7" s="134" t="n">
        <f aca="false">MC!$E11</f>
        <v>45323</v>
      </c>
      <c r="AMF7" s="116"/>
    </row>
    <row r="8" customFormat="false" ht="15" hidden="false" customHeight="false" outlineLevel="0" collapsed="false">
      <c r="A8" s="128"/>
      <c r="B8" s="126" t="s">
        <v>598</v>
      </c>
      <c r="C8" s="132" t="str">
        <f aca="false">MC!$D11</f>
        <v>RS000275/2024</v>
      </c>
      <c r="D8" s="133" t="str">
        <f aca="false">MC!$D11</f>
        <v>RS000275/2024</v>
      </c>
      <c r="E8" s="133" t="str">
        <f aca="false">MC!$D11</f>
        <v>RS000275/2024</v>
      </c>
      <c r="F8" s="134" t="str">
        <f aca="false">MC!$D11</f>
        <v>RS000275/2024</v>
      </c>
      <c r="AMF8" s="116"/>
    </row>
    <row r="9" customFormat="false" ht="15" hidden="false" customHeight="false" outlineLevel="0" collapsed="false">
      <c r="A9" s="135"/>
      <c r="B9" s="136" t="s">
        <v>599</v>
      </c>
      <c r="C9" s="137" t="str">
        <f aca="false">MC!$F11</f>
        <v>5173-30</v>
      </c>
      <c r="D9" s="138" t="str">
        <f aca="false">MC!$F11</f>
        <v>5173-30</v>
      </c>
      <c r="E9" s="138" t="str">
        <f aca="false">MC!$F11</f>
        <v>5173-30</v>
      </c>
      <c r="F9" s="139" t="str">
        <f aca="false">MC!$F11</f>
        <v>5173-30</v>
      </c>
      <c r="AMF9" s="116"/>
    </row>
    <row r="10" customFormat="false" ht="15" hidden="false" customHeight="false" outlineLevel="0" collapsed="false">
      <c r="A10" s="140" t="s">
        <v>698</v>
      </c>
      <c r="B10" s="141"/>
      <c r="C10" s="141"/>
      <c r="D10" s="141"/>
      <c r="E10" s="141"/>
      <c r="F10" s="142"/>
      <c r="AMF10" s="116"/>
    </row>
    <row r="11" customFormat="false" ht="66.75" hidden="false" customHeight="true" outlineLevel="0" collapsed="false">
      <c r="A11" s="143" t="s">
        <v>601</v>
      </c>
      <c r="B11" s="144" t="s">
        <v>602</v>
      </c>
      <c r="C11" s="145" t="s">
        <v>603</v>
      </c>
      <c r="D11" s="145" t="s">
        <v>604</v>
      </c>
      <c r="E11" s="145" t="s">
        <v>605</v>
      </c>
      <c r="F11" s="146" t="s">
        <v>606</v>
      </c>
      <c r="AMF11" s="116"/>
    </row>
    <row r="12" customFormat="false" ht="15.75" hidden="false" customHeight="true" outlineLevel="0" collapsed="false">
      <c r="A12" s="147" t="s">
        <v>607</v>
      </c>
      <c r="B12" s="147"/>
      <c r="C12" s="147"/>
      <c r="D12" s="147"/>
      <c r="E12" s="147"/>
      <c r="F12" s="147"/>
      <c r="AMF12" s="116"/>
    </row>
    <row r="13" customFormat="false" ht="15.75" hidden="false" customHeight="true" outlineLevel="0" collapsed="false">
      <c r="A13" s="148" t="s">
        <v>608</v>
      </c>
      <c r="B13" s="149" t="s">
        <v>609</v>
      </c>
      <c r="C13" s="149" t="s">
        <v>610</v>
      </c>
      <c r="D13" s="149" t="s">
        <v>610</v>
      </c>
      <c r="E13" s="149" t="s">
        <v>610</v>
      </c>
      <c r="F13" s="150" t="s">
        <v>610</v>
      </c>
      <c r="AMF13" s="116"/>
    </row>
    <row r="14" customFormat="false" ht="15.75" hidden="false" customHeight="true" outlineLevel="0" collapsed="false">
      <c r="A14" s="152" t="s">
        <v>611</v>
      </c>
      <c r="B14" s="153"/>
      <c r="C14" s="154" t="n">
        <f aca="false">C6</f>
        <v>1348.5</v>
      </c>
      <c r="D14" s="154" t="n">
        <f aca="false">D6</f>
        <v>1977.8</v>
      </c>
      <c r="E14" s="154" t="n">
        <f aca="false">E6*2</f>
        <v>3955.6</v>
      </c>
      <c r="F14" s="155" t="n">
        <f aca="false">F6*2</f>
        <v>3955.6</v>
      </c>
      <c r="H14" s="156"/>
      <c r="AMF14" s="116"/>
    </row>
    <row r="15" customFormat="false" ht="15.75" hidden="false" customHeight="true" outlineLevel="0" collapsed="false">
      <c r="A15" s="152" t="s">
        <v>612</v>
      </c>
      <c r="B15" s="157" t="n">
        <v>0.3</v>
      </c>
      <c r="C15" s="154" t="n">
        <f aca="false">$B$15*C14</f>
        <v>404.55</v>
      </c>
      <c r="D15" s="154" t="n">
        <f aca="false">$B$15*D14</f>
        <v>593.34</v>
      </c>
      <c r="E15" s="154" t="n">
        <f aca="false">$B$15*E14</f>
        <v>1186.68</v>
      </c>
      <c r="F15" s="155" t="n">
        <f aca="false">$B$15*(F14)</f>
        <v>1186.68</v>
      </c>
      <c r="H15" s="156"/>
      <c r="AMF15" s="116"/>
    </row>
    <row r="16" customFormat="false" ht="15.75" hidden="false" customHeight="true" outlineLevel="0" collapsed="false">
      <c r="A16" s="152" t="s">
        <v>613</v>
      </c>
      <c r="B16" s="157" t="n">
        <v>0.2</v>
      </c>
      <c r="C16" s="154"/>
      <c r="D16" s="154"/>
      <c r="E16" s="154"/>
      <c r="F16" s="155" t="n">
        <f aca="false">(F14+F15)/220*(8*15)*0.2</f>
        <v>560.976</v>
      </c>
      <c r="AMF16" s="116"/>
    </row>
    <row r="17" customFormat="false" ht="15.75" hidden="false" customHeight="true" outlineLevel="0" collapsed="false">
      <c r="A17" s="152" t="s">
        <v>614</v>
      </c>
      <c r="B17" s="158"/>
      <c r="C17" s="154"/>
      <c r="D17" s="154"/>
      <c r="E17" s="154"/>
      <c r="F17" s="155" t="n">
        <f aca="false">(F14+F15)/220*1.5*4.334</f>
        <v>151.954374</v>
      </c>
      <c r="H17" s="156"/>
      <c r="AMF17" s="116"/>
    </row>
    <row r="18" customFormat="false" ht="15.75" hidden="false" customHeight="true" outlineLevel="0" collapsed="false">
      <c r="A18" s="152" t="s">
        <v>615</v>
      </c>
      <c r="B18" s="157" t="n">
        <v>0.5</v>
      </c>
      <c r="C18" s="154"/>
      <c r="D18" s="154"/>
      <c r="E18" s="154" t="n">
        <f aca="false">E14/220*1.5*(15*B18)</f>
        <v>202.275</v>
      </c>
      <c r="F18" s="155" t="n">
        <f aca="false">F14/220*1.5*(15*B18)</f>
        <v>202.275</v>
      </c>
      <c r="AMF18" s="116"/>
    </row>
    <row r="19" customFormat="false" ht="15.75" hidden="false" customHeight="true" outlineLevel="0" collapsed="false">
      <c r="A19" s="152" t="s">
        <v>616</v>
      </c>
      <c r="B19" s="157"/>
      <c r="C19" s="154" t="n">
        <f aca="false">C14/150/6*22</f>
        <v>32.9633333333333</v>
      </c>
      <c r="D19" s="154" t="n">
        <f aca="false">D14/220/6*22</f>
        <v>32.9633333333333</v>
      </c>
      <c r="E19" s="154" t="n">
        <f aca="false">E14/220/6*15</f>
        <v>44.95</v>
      </c>
      <c r="F19" s="155" t="n">
        <f aca="false">F14/220/6*15</f>
        <v>44.95</v>
      </c>
      <c r="AMF19" s="116"/>
    </row>
    <row r="20" customFormat="false" ht="15.75" hidden="false" customHeight="true" outlineLevel="0" collapsed="false">
      <c r="A20" s="152" t="s">
        <v>617</v>
      </c>
      <c r="B20" s="157"/>
      <c r="C20" s="154"/>
      <c r="D20" s="154"/>
      <c r="E20" s="154"/>
      <c r="F20" s="155" t="n">
        <f aca="false">(F16+F17)/25*5</f>
        <v>142.5860748</v>
      </c>
      <c r="AMF20" s="116"/>
    </row>
    <row r="21" customFormat="false" ht="15.75" hidden="false" customHeight="true" outlineLevel="0" collapsed="false">
      <c r="A21" s="159" t="s">
        <v>7</v>
      </c>
      <c r="B21" s="160"/>
      <c r="C21" s="161" t="n">
        <f aca="false">SUM(C14:C20)</f>
        <v>1786.01333333333</v>
      </c>
      <c r="D21" s="161" t="n">
        <f aca="false">SUM(D14:D20)</f>
        <v>2604.10333333333</v>
      </c>
      <c r="E21" s="161" t="n">
        <f aca="false">SUM(E14:E20)</f>
        <v>5389.505</v>
      </c>
      <c r="F21" s="162" t="n">
        <f aca="false">SUM(F14:F20)</f>
        <v>6245.0214488</v>
      </c>
      <c r="AMF21" s="116"/>
    </row>
    <row r="22" customFormat="false" ht="15.75" hidden="false" customHeight="true" outlineLevel="0" collapsed="false">
      <c r="A22" s="163"/>
      <c r="B22" s="163"/>
      <c r="C22" s="164"/>
      <c r="D22" s="164"/>
      <c r="E22" s="164"/>
      <c r="F22" s="165"/>
      <c r="J22" s="156"/>
      <c r="AMF22" s="116"/>
    </row>
    <row r="23" customFormat="false" ht="15.75" hidden="false" customHeight="true" outlineLevel="0" collapsed="false">
      <c r="A23" s="147" t="s">
        <v>618</v>
      </c>
      <c r="B23" s="147"/>
      <c r="C23" s="147"/>
      <c r="D23" s="147"/>
      <c r="E23" s="147"/>
      <c r="F23" s="147"/>
      <c r="AMF23" s="116"/>
    </row>
    <row r="24" customFormat="false" ht="15.75" hidden="false" customHeight="true" outlineLevel="0" collapsed="false">
      <c r="A24" s="166" t="s">
        <v>619</v>
      </c>
      <c r="B24" s="167" t="s">
        <v>609</v>
      </c>
      <c r="C24" s="167" t="s">
        <v>610</v>
      </c>
      <c r="D24" s="167" t="s">
        <v>610</v>
      </c>
      <c r="E24" s="167" t="s">
        <v>610</v>
      </c>
      <c r="F24" s="168" t="s">
        <v>610</v>
      </c>
      <c r="AMF24" s="116"/>
    </row>
    <row r="25" customFormat="false" ht="15.75" hidden="false" customHeight="true" outlineLevel="0" collapsed="false">
      <c r="A25" s="169" t="s">
        <v>620</v>
      </c>
      <c r="B25" s="157" t="n">
        <f aca="false">1/12</f>
        <v>0.0833333333333333</v>
      </c>
      <c r="C25" s="154" t="n">
        <f aca="false">ROUND($B25*C$21,2)</f>
        <v>148.83</v>
      </c>
      <c r="D25" s="154" t="n">
        <f aca="false">ROUND($B25*D$21,2)</f>
        <v>217.01</v>
      </c>
      <c r="E25" s="154" t="n">
        <f aca="false">ROUND($B25*E$21,2)</f>
        <v>449.13</v>
      </c>
      <c r="F25" s="155" t="n">
        <f aca="false">ROUND($B25*F$21,2)</f>
        <v>520.42</v>
      </c>
      <c r="AMF25" s="116"/>
    </row>
    <row r="26" customFormat="false" ht="15.75" hidden="false" customHeight="true" outlineLevel="0" collapsed="false">
      <c r="A26" s="169" t="s">
        <v>621</v>
      </c>
      <c r="B26" s="157" t="n">
        <f aca="false">1/3*1/12</f>
        <v>0.0277777777777778</v>
      </c>
      <c r="C26" s="154" t="n">
        <f aca="false">C$21*$B$26</f>
        <v>49.6114814814815</v>
      </c>
      <c r="D26" s="154" t="n">
        <f aca="false">D$21*$B$26</f>
        <v>72.3362037037037</v>
      </c>
      <c r="E26" s="154" t="n">
        <f aca="false">E$21*$B$26</f>
        <v>149.708472222222</v>
      </c>
      <c r="F26" s="155" t="n">
        <f aca="false">F$21*$B$26</f>
        <v>173.472818022222</v>
      </c>
      <c r="AMF26" s="116"/>
    </row>
    <row r="27" customFormat="false" ht="15.75" hidden="false" customHeight="true" outlineLevel="0" collapsed="false">
      <c r="A27" s="159" t="s">
        <v>7</v>
      </c>
      <c r="B27" s="170" t="n">
        <f aca="false">SUM(B25:B26)</f>
        <v>0.111111111111111</v>
      </c>
      <c r="C27" s="161" t="n">
        <f aca="false">SUM(C25:C26)</f>
        <v>198.441481481482</v>
      </c>
      <c r="D27" s="161" t="n">
        <f aca="false">SUM(D25:D26)</f>
        <v>289.346203703704</v>
      </c>
      <c r="E27" s="161" t="n">
        <f aca="false">SUM(E25:E26)</f>
        <v>598.838472222222</v>
      </c>
      <c r="F27" s="162" t="n">
        <f aca="false">SUM(F25:F26)</f>
        <v>693.892818022222</v>
      </c>
      <c r="AMF27" s="116"/>
    </row>
    <row r="28" customFormat="false" ht="15.75" hidden="false" customHeight="true" outlineLevel="0" collapsed="false">
      <c r="A28" s="166" t="s">
        <v>622</v>
      </c>
      <c r="B28" s="167" t="s">
        <v>609</v>
      </c>
      <c r="C28" s="167" t="s">
        <v>610</v>
      </c>
      <c r="D28" s="167" t="s">
        <v>610</v>
      </c>
      <c r="E28" s="167" t="s">
        <v>610</v>
      </c>
      <c r="F28" s="168" t="s">
        <v>610</v>
      </c>
      <c r="AMF28" s="116"/>
    </row>
    <row r="29" customFormat="false" ht="15.75" hidden="false" customHeight="true" outlineLevel="0" collapsed="false">
      <c r="A29" s="171" t="s">
        <v>623</v>
      </c>
      <c r="B29" s="172"/>
      <c r="C29" s="172"/>
      <c r="D29" s="172"/>
      <c r="E29" s="172"/>
      <c r="F29" s="173"/>
      <c r="AMF29" s="116"/>
    </row>
    <row r="30" customFormat="false" ht="15.75" hidden="false" customHeight="true" outlineLevel="0" collapsed="false">
      <c r="A30" s="169" t="s">
        <v>624</v>
      </c>
      <c r="B30" s="157" t="n">
        <v>0.2</v>
      </c>
      <c r="C30" s="174" t="n">
        <f aca="false">ROUND(($C$21+$C$27)*$B30,2)</f>
        <v>396.89</v>
      </c>
      <c r="D30" s="174" t="n">
        <f aca="false">ROUND(($D$21+$D$27)*$B30,2)</f>
        <v>578.69</v>
      </c>
      <c r="E30" s="174" t="n">
        <f aca="false">ROUND(($E$21+$E$27)*$B30,2)</f>
        <v>1197.67</v>
      </c>
      <c r="F30" s="175" t="n">
        <f aca="false">ROUND(($F$21+$F$27)*$B30,2)</f>
        <v>1387.78</v>
      </c>
      <c r="AMF30" s="116"/>
    </row>
    <row r="31" customFormat="false" ht="15.75" hidden="false" customHeight="true" outlineLevel="0" collapsed="false">
      <c r="A31" s="169" t="s">
        <v>625</v>
      </c>
      <c r="B31" s="157" t="n">
        <v>0.025</v>
      </c>
      <c r="C31" s="174" t="n">
        <f aca="false">ROUND(($C$21+$C$27)*$B31,2)</f>
        <v>49.61</v>
      </c>
      <c r="D31" s="174" t="n">
        <f aca="false">ROUND(($D$21+$D$27)*B31,2)</f>
        <v>72.34</v>
      </c>
      <c r="E31" s="174" t="n">
        <f aca="false">ROUND(($E$21+$E$27)*B31,2)</f>
        <v>149.71</v>
      </c>
      <c r="F31" s="175" t="n">
        <f aca="false">ROUND(($F$21+$F$27)*B31,2)</f>
        <v>173.47</v>
      </c>
      <c r="AMF31" s="116"/>
    </row>
    <row r="32" customFormat="false" ht="15.75" hidden="false" customHeight="true" outlineLevel="0" collapsed="false">
      <c r="A32" s="169" t="s">
        <v>626</v>
      </c>
      <c r="B32" s="157" t="n">
        <v>0.03</v>
      </c>
      <c r="C32" s="174" t="n">
        <f aca="false">ROUND(($C$21+$C$27)*$B32,2)</f>
        <v>59.53</v>
      </c>
      <c r="D32" s="174" t="n">
        <f aca="false">ROUND(($D$21+$D$27)*B32,2)</f>
        <v>86.8</v>
      </c>
      <c r="E32" s="174" t="n">
        <f aca="false">ROUND(($E$21+$E$27)*B32,2)</f>
        <v>179.65</v>
      </c>
      <c r="F32" s="175" t="n">
        <f aca="false">ROUND(($F$21+$F$27)*B32,2)</f>
        <v>208.17</v>
      </c>
      <c r="AMF32" s="116"/>
    </row>
    <row r="33" customFormat="false" ht="15.75" hidden="false" customHeight="true" outlineLevel="0" collapsed="false">
      <c r="A33" s="169" t="s">
        <v>627</v>
      </c>
      <c r="B33" s="157" t="n">
        <v>0.015</v>
      </c>
      <c r="C33" s="174" t="n">
        <f aca="false">ROUND(($C$21+$C$27)*$B33,2)</f>
        <v>29.77</v>
      </c>
      <c r="D33" s="174" t="n">
        <f aca="false">ROUND(($D$21+$D$27)*B33,2)</f>
        <v>43.4</v>
      </c>
      <c r="E33" s="174" t="n">
        <f aca="false">ROUND(($E$21+$E$27)*B33,2)</f>
        <v>89.83</v>
      </c>
      <c r="F33" s="175" t="n">
        <f aca="false">ROUND(($F$21+$F$27)*B33,2)</f>
        <v>104.08</v>
      </c>
      <c r="AMF33" s="116"/>
    </row>
    <row r="34" customFormat="false" ht="15.75" hidden="false" customHeight="true" outlineLevel="0" collapsed="false">
      <c r="A34" s="169" t="s">
        <v>628</v>
      </c>
      <c r="B34" s="157" t="n">
        <v>0.01</v>
      </c>
      <c r="C34" s="174" t="n">
        <f aca="false">ROUND(($C$21+$C$27)*$B34,2)</f>
        <v>19.84</v>
      </c>
      <c r="D34" s="174" t="n">
        <f aca="false">ROUND(($D$21+$D$27)*B34,2)</f>
        <v>28.93</v>
      </c>
      <c r="E34" s="174" t="n">
        <f aca="false">ROUND(($E$21+$E$27)*B34,2)</f>
        <v>59.88</v>
      </c>
      <c r="F34" s="175" t="n">
        <f aca="false">ROUND(($F$21+$F$27)*B34,2)</f>
        <v>69.39</v>
      </c>
      <c r="AMF34" s="116"/>
    </row>
    <row r="35" customFormat="false" ht="15.75" hidden="false" customHeight="true" outlineLevel="0" collapsed="false">
      <c r="A35" s="169" t="s">
        <v>629</v>
      </c>
      <c r="B35" s="157" t="n">
        <v>0.006</v>
      </c>
      <c r="C35" s="174" t="n">
        <f aca="false">ROUND(($C$21+$C$27)*$B35,2)</f>
        <v>11.91</v>
      </c>
      <c r="D35" s="174" t="n">
        <f aca="false">ROUND(($D$21+$D$27)*B35,2)</f>
        <v>17.36</v>
      </c>
      <c r="E35" s="174" t="n">
        <f aca="false">ROUND(($E$21+$E$27)*B35,2)</f>
        <v>35.93</v>
      </c>
      <c r="F35" s="175" t="n">
        <f aca="false">ROUND(($F$21+$F$27)*B35,2)</f>
        <v>41.63</v>
      </c>
      <c r="AMF35" s="116"/>
    </row>
    <row r="36" customFormat="false" ht="15.75" hidden="false" customHeight="true" outlineLevel="0" collapsed="false">
      <c r="A36" s="169" t="s">
        <v>630</v>
      </c>
      <c r="B36" s="157" t="n">
        <v>0.002</v>
      </c>
      <c r="C36" s="174" t="n">
        <f aca="false">ROUND(($C$21+$C$27)*$B36,2)</f>
        <v>3.97</v>
      </c>
      <c r="D36" s="174" t="n">
        <f aca="false">ROUND(($D$21+$D$27)*B36,2)</f>
        <v>5.79</v>
      </c>
      <c r="E36" s="174" t="n">
        <f aca="false">ROUND(($E$21+$E$27)*B36,2)</f>
        <v>11.98</v>
      </c>
      <c r="F36" s="175" t="n">
        <f aca="false">ROUND(($F$21+$F$27)*B36,2)</f>
        <v>13.88</v>
      </c>
      <c r="AMF36" s="116"/>
    </row>
    <row r="37" customFormat="false" ht="15.75" hidden="false" customHeight="true" outlineLevel="0" collapsed="false">
      <c r="A37" s="169" t="s">
        <v>631</v>
      </c>
      <c r="B37" s="157" t="n">
        <v>0.08</v>
      </c>
      <c r="C37" s="174" t="n">
        <f aca="false">ROUND(($C$21+$C$27)*$B37,2)</f>
        <v>158.76</v>
      </c>
      <c r="D37" s="174" t="n">
        <f aca="false">ROUND(($D$21+$D$27)*B37,2)</f>
        <v>231.48</v>
      </c>
      <c r="E37" s="174" t="n">
        <f aca="false">ROUND(($E$21+$E$27)*B37,2)</f>
        <v>479.07</v>
      </c>
      <c r="F37" s="175" t="n">
        <f aca="false">ROUND(($F$21+$F$27)*B37,2)</f>
        <v>555.11</v>
      </c>
      <c r="AMF37" s="116"/>
    </row>
    <row r="38" customFormat="false" ht="15.75" hidden="false" customHeight="true" outlineLevel="0" collapsed="false">
      <c r="A38" s="159" t="s">
        <v>7</v>
      </c>
      <c r="B38" s="170" t="n">
        <f aca="false">SUM(B30:B37)</f>
        <v>0.368</v>
      </c>
      <c r="C38" s="161" t="n">
        <f aca="false">SUM(C29:C37)</f>
        <v>730.28</v>
      </c>
      <c r="D38" s="161" t="n">
        <f aca="false">SUM(D29:D37)</f>
        <v>1064.79</v>
      </c>
      <c r="E38" s="161" t="n">
        <f aca="false">SUM(E30:E37)</f>
        <v>2203.72</v>
      </c>
      <c r="F38" s="162" t="n">
        <f aca="false">SUM(F30:F37)</f>
        <v>2553.51</v>
      </c>
      <c r="AMF38" s="116"/>
    </row>
    <row r="39" customFormat="false" ht="15.75" hidden="false" customHeight="true" outlineLevel="0" collapsed="false">
      <c r="A39" s="166" t="s">
        <v>632</v>
      </c>
      <c r="B39" s="167" t="s">
        <v>633</v>
      </c>
      <c r="C39" s="167" t="s">
        <v>610</v>
      </c>
      <c r="D39" s="167" t="s">
        <v>610</v>
      </c>
      <c r="E39" s="167" t="s">
        <v>610</v>
      </c>
      <c r="F39" s="168" t="s">
        <v>610</v>
      </c>
      <c r="AMF39" s="116"/>
    </row>
    <row r="40" customFormat="false" ht="15.75" hidden="false" customHeight="true" outlineLevel="0" collapsed="false">
      <c r="A40" s="169" t="s">
        <v>634</v>
      </c>
      <c r="B40" s="176" t="str">
        <f aca="false">VT!C42</f>
        <v>4,45</v>
      </c>
      <c r="C40" s="154" t="n">
        <f aca="false">ROUND(($B$40*2*22)-(0.06*C$14),2)</f>
        <v>114.89</v>
      </c>
      <c r="D40" s="154" t="n">
        <f aca="false">ROUND(($B$40*2*22)-(0.06*D$14),2)</f>
        <v>77.13</v>
      </c>
      <c r="E40" s="154" t="n">
        <f aca="false">ROUND(($B$40*2*30)-(0.06*E$14),2)</f>
        <v>29.66</v>
      </c>
      <c r="F40" s="155" t="n">
        <f aca="false">ROUND(($B$40*2*30)-(0.06*F$14),2)</f>
        <v>29.66</v>
      </c>
      <c r="H40" s="177"/>
      <c r="AMF40" s="116"/>
    </row>
    <row r="41" customFormat="false" ht="15.75" hidden="false" customHeight="true" outlineLevel="0" collapsed="false">
      <c r="A41" s="169" t="s">
        <v>635</v>
      </c>
      <c r="B41" s="178" t="n">
        <f aca="false">MC!B33</f>
        <v>27</v>
      </c>
      <c r="C41" s="174" t="n">
        <f aca="false">(ROUND(($B$41*(1-0.2)*22),2))</f>
        <v>475.2</v>
      </c>
      <c r="D41" s="174" t="n">
        <f aca="false">(ROUND(($B$41*(1-0.2)*22),2))</f>
        <v>475.2</v>
      </c>
      <c r="E41" s="174" t="n">
        <f aca="false">(ROUND(($B$41*(1-0.2)*30),2))</f>
        <v>648</v>
      </c>
      <c r="F41" s="175" t="n">
        <f aca="false">(ROUND(($B$41*(1-0.2)*30),2))</f>
        <v>648</v>
      </c>
      <c r="AMF41" s="116"/>
    </row>
    <row r="42" customFormat="false" ht="15.75" hidden="false" customHeight="true" outlineLevel="0" collapsed="false">
      <c r="A42" s="169" t="s">
        <v>636</v>
      </c>
      <c r="B42" s="157"/>
      <c r="C42" s="174"/>
      <c r="D42" s="174"/>
      <c r="E42" s="174"/>
      <c r="F42" s="175"/>
      <c r="AMF42" s="116"/>
    </row>
    <row r="43" customFormat="false" ht="15.75" hidden="false" customHeight="true" outlineLevel="0" collapsed="false">
      <c r="A43" s="179" t="s">
        <v>637</v>
      </c>
      <c r="B43" s="180" t="n">
        <f aca="false">MC!$B38</f>
        <v>23.72</v>
      </c>
      <c r="C43" s="174" t="n">
        <f aca="false">MC!$B38</f>
        <v>23.72</v>
      </c>
      <c r="D43" s="174" t="n">
        <f aca="false">MC!$B38</f>
        <v>23.72</v>
      </c>
      <c r="E43" s="174" t="n">
        <f aca="false">MC!$B38</f>
        <v>23.72</v>
      </c>
      <c r="F43" s="175" t="n">
        <f aca="false">MC!$B38</f>
        <v>23.72</v>
      </c>
      <c r="AMF43" s="116"/>
    </row>
    <row r="44" customFormat="false" ht="15.75" hidden="false" customHeight="true" outlineLevel="0" collapsed="false">
      <c r="A44" s="169" t="s">
        <v>638</v>
      </c>
      <c r="B44" s="157"/>
      <c r="C44" s="174"/>
      <c r="D44" s="174"/>
      <c r="E44" s="174"/>
      <c r="F44" s="175"/>
      <c r="AMF44" s="116"/>
    </row>
    <row r="45" customFormat="false" ht="15.75" hidden="false" customHeight="true" outlineLevel="0" collapsed="false">
      <c r="A45" s="169" t="s">
        <v>639</v>
      </c>
      <c r="B45" s="157"/>
      <c r="C45" s="174"/>
      <c r="D45" s="174"/>
      <c r="E45" s="174"/>
      <c r="F45" s="175"/>
      <c r="AMF45" s="116"/>
    </row>
    <row r="46" customFormat="false" ht="15.75" hidden="false" customHeight="true" outlineLevel="0" collapsed="false">
      <c r="A46" s="159" t="s">
        <v>7</v>
      </c>
      <c r="B46" s="160"/>
      <c r="C46" s="161" t="n">
        <f aca="false">SUM(C40:C45)</f>
        <v>613.81</v>
      </c>
      <c r="D46" s="161" t="n">
        <f aca="false">SUM(D40:D45)</f>
        <v>576.05</v>
      </c>
      <c r="E46" s="161" t="n">
        <f aca="false">SUM(E40:E45)</f>
        <v>701.38</v>
      </c>
      <c r="F46" s="162" t="n">
        <f aca="false">SUM(F40:F45)</f>
        <v>701.38</v>
      </c>
      <c r="AMF46" s="116"/>
    </row>
    <row r="47" customFormat="false" ht="15.75" hidden="false" customHeight="true" outlineLevel="0" collapsed="false">
      <c r="A47" s="148" t="s">
        <v>640</v>
      </c>
      <c r="B47" s="149" t="s">
        <v>609</v>
      </c>
      <c r="C47" s="149" t="s">
        <v>610</v>
      </c>
      <c r="D47" s="149" t="s">
        <v>610</v>
      </c>
      <c r="E47" s="149" t="s">
        <v>610</v>
      </c>
      <c r="F47" s="150" t="s">
        <v>610</v>
      </c>
      <c r="AMF47" s="116"/>
    </row>
    <row r="48" customFormat="false" ht="15.75" hidden="false" customHeight="true" outlineLevel="0" collapsed="false">
      <c r="A48" s="169" t="s">
        <v>619</v>
      </c>
      <c r="B48" s="182" t="n">
        <f aca="false">B27</f>
        <v>0.111111111111111</v>
      </c>
      <c r="C48" s="183" t="n">
        <f aca="false">C27</f>
        <v>198.441481481482</v>
      </c>
      <c r="D48" s="183" t="n">
        <f aca="false">D27</f>
        <v>289.346203703704</v>
      </c>
      <c r="E48" s="183" t="n">
        <f aca="false">E27</f>
        <v>598.838472222222</v>
      </c>
      <c r="F48" s="184" t="n">
        <f aca="false">F27</f>
        <v>693.892818022222</v>
      </c>
      <c r="AMF48" s="116"/>
    </row>
    <row r="49" customFormat="false" ht="15.75" hidden="false" customHeight="true" outlineLevel="0" collapsed="false">
      <c r="A49" s="169" t="s">
        <v>641</v>
      </c>
      <c r="B49" s="182" t="n">
        <f aca="false">B38</f>
        <v>0.368</v>
      </c>
      <c r="C49" s="183" t="n">
        <f aca="false">C38</f>
        <v>730.28</v>
      </c>
      <c r="D49" s="183" t="n">
        <f aca="false">D38</f>
        <v>1064.79</v>
      </c>
      <c r="E49" s="183" t="n">
        <f aca="false">E38</f>
        <v>2203.72</v>
      </c>
      <c r="F49" s="184" t="n">
        <f aca="false">F38</f>
        <v>2553.51</v>
      </c>
      <c r="AMF49" s="116"/>
    </row>
    <row r="50" customFormat="false" ht="15.75" hidden="false" customHeight="true" outlineLevel="0" collapsed="false">
      <c r="A50" s="169" t="s">
        <v>632</v>
      </c>
      <c r="B50" s="182"/>
      <c r="C50" s="183" t="n">
        <f aca="false">C46</f>
        <v>613.81</v>
      </c>
      <c r="D50" s="183" t="n">
        <f aca="false">D46</f>
        <v>576.05</v>
      </c>
      <c r="E50" s="183" t="n">
        <f aca="false">E46</f>
        <v>701.38</v>
      </c>
      <c r="F50" s="184" t="n">
        <f aca="false">F46</f>
        <v>701.38</v>
      </c>
      <c r="AMF50" s="116"/>
    </row>
    <row r="51" customFormat="false" ht="15.75" hidden="false" customHeight="true" outlineLevel="0" collapsed="false">
      <c r="A51" s="159" t="s">
        <v>7</v>
      </c>
      <c r="B51" s="160"/>
      <c r="C51" s="161" t="n">
        <f aca="false">SUM(C48:C50)</f>
        <v>1542.53148148148</v>
      </c>
      <c r="D51" s="161" t="n">
        <f aca="false">SUM(D48:D50)</f>
        <v>1930.1862037037</v>
      </c>
      <c r="E51" s="161" t="n">
        <f aca="false">SUM(E48:E50)</f>
        <v>3503.93847222222</v>
      </c>
      <c r="F51" s="162" t="n">
        <f aca="false">SUM(F48:F50)</f>
        <v>3948.78281802222</v>
      </c>
      <c r="AMF51" s="116"/>
    </row>
    <row r="52" customFormat="false" ht="15.75" hidden="false" customHeight="true" outlineLevel="0" collapsed="false">
      <c r="A52" s="163"/>
      <c r="B52" s="163"/>
      <c r="C52" s="164"/>
      <c r="D52" s="164"/>
      <c r="E52" s="164"/>
      <c r="F52" s="165"/>
      <c r="AMF52" s="116"/>
    </row>
    <row r="53" s="185" customFormat="true" ht="15.75" hidden="false" customHeight="true" outlineLevel="0" collapsed="false">
      <c r="A53" s="147" t="s">
        <v>642</v>
      </c>
      <c r="B53" s="147"/>
      <c r="C53" s="147"/>
      <c r="D53" s="147"/>
      <c r="E53" s="147"/>
      <c r="F53" s="147"/>
    </row>
    <row r="54" customFormat="false" ht="15.75" hidden="false" customHeight="true" outlineLevel="0" collapsed="false">
      <c r="A54" s="148" t="s">
        <v>643</v>
      </c>
      <c r="B54" s="149" t="s">
        <v>609</v>
      </c>
      <c r="C54" s="149" t="s">
        <v>610</v>
      </c>
      <c r="D54" s="149" t="s">
        <v>610</v>
      </c>
      <c r="E54" s="149" t="s">
        <v>610</v>
      </c>
      <c r="F54" s="150" t="s">
        <v>610</v>
      </c>
      <c r="AMF54" s="116"/>
    </row>
    <row r="55" customFormat="false" ht="15.75" hidden="false" customHeight="true" outlineLevel="0" collapsed="false">
      <c r="A55" s="169" t="s">
        <v>644</v>
      </c>
      <c r="B55" s="182" t="n">
        <f aca="false">1/12*0.05</f>
        <v>0.00416666666666667</v>
      </c>
      <c r="C55" s="186" t="n">
        <f aca="false">C$21*$B55</f>
        <v>7.44172222222222</v>
      </c>
      <c r="D55" s="186" t="n">
        <f aca="false">D$21*$B55</f>
        <v>10.8504305555556</v>
      </c>
      <c r="E55" s="186" t="n">
        <f aca="false">E$21*$B55</f>
        <v>22.4562708333333</v>
      </c>
      <c r="F55" s="187" t="n">
        <f aca="false">F$21*$B55</f>
        <v>26.0209227033333</v>
      </c>
      <c r="AMF55" s="116"/>
    </row>
    <row r="56" customFormat="false" ht="15.75" hidden="false" customHeight="true" outlineLevel="0" collapsed="false">
      <c r="A56" s="169" t="s">
        <v>645</v>
      </c>
      <c r="B56" s="182" t="n">
        <f aca="false">B37*B55</f>
        <v>0.000333333333333333</v>
      </c>
      <c r="C56" s="186" t="n">
        <f aca="false">C$21*$B56</f>
        <v>0.595337777777778</v>
      </c>
      <c r="D56" s="186" t="n">
        <f aca="false">D$21*$B56</f>
        <v>0.868034444444444</v>
      </c>
      <c r="E56" s="186" t="n">
        <f aca="false">E$21*$B56</f>
        <v>1.79650166666667</v>
      </c>
      <c r="F56" s="187" t="n">
        <f aca="false">F$21*$B56</f>
        <v>2.08167381626667</v>
      </c>
      <c r="AMF56" s="116"/>
    </row>
    <row r="57" customFormat="false" ht="15.75" hidden="false" customHeight="true" outlineLevel="0" collapsed="false">
      <c r="A57" s="169" t="s">
        <v>646</v>
      </c>
      <c r="B57" s="182" t="n">
        <v>0</v>
      </c>
      <c r="C57" s="186" t="n">
        <f aca="false">C$21*$B57</f>
        <v>0</v>
      </c>
      <c r="D57" s="186" t="n">
        <f aca="false">D$21*$B57</f>
        <v>0</v>
      </c>
      <c r="E57" s="186" t="n">
        <f aca="false">E$21*$B57</f>
        <v>0</v>
      </c>
      <c r="F57" s="187" t="n">
        <f aca="false">F$21*$B57</f>
        <v>0</v>
      </c>
      <c r="AMF57" s="116"/>
    </row>
    <row r="58" customFormat="false" ht="15.75" hidden="false" customHeight="true" outlineLevel="0" collapsed="false">
      <c r="A58" s="169" t="s">
        <v>647</v>
      </c>
      <c r="B58" s="182" t="n">
        <f aca="false">7/12*1/30</f>
        <v>0.0194444444444444</v>
      </c>
      <c r="C58" s="186" t="n">
        <f aca="false">C$21*$B58</f>
        <v>34.728037037037</v>
      </c>
      <c r="D58" s="186" t="n">
        <f aca="false">D$21*$B58</f>
        <v>50.6353425925926</v>
      </c>
      <c r="E58" s="186" t="n">
        <f aca="false">E$21*$B58</f>
        <v>104.795930555556</v>
      </c>
      <c r="F58" s="187" t="n">
        <f aca="false">F$21*$B58</f>
        <v>121.430972615556</v>
      </c>
      <c r="AMF58" s="116"/>
    </row>
    <row r="59" customFormat="false" ht="15.75" hidden="false" customHeight="true" outlineLevel="0" collapsed="false">
      <c r="A59" s="169" t="s">
        <v>648</v>
      </c>
      <c r="B59" s="182" t="n">
        <f aca="false">B38*B58</f>
        <v>0.00715555555555556</v>
      </c>
      <c r="C59" s="186" t="n">
        <f aca="false">C$21*$B59</f>
        <v>12.7799176296296</v>
      </c>
      <c r="D59" s="186" t="n">
        <f aca="false">D$21*$B59</f>
        <v>18.6338060740741</v>
      </c>
      <c r="E59" s="186" t="n">
        <f aca="false">E$21*$B59</f>
        <v>38.5649024444444</v>
      </c>
      <c r="F59" s="187" t="n">
        <f aca="false">F$21*$B59</f>
        <v>44.6865979225244</v>
      </c>
      <c r="AMF59" s="116"/>
    </row>
    <row r="60" customFormat="false" ht="15.75" hidden="false" customHeight="true" outlineLevel="0" collapsed="false">
      <c r="A60" s="169" t="s">
        <v>649</v>
      </c>
      <c r="B60" s="182" t="n">
        <f aca="false">B37*40/100*90/100*(1+1/12+1/12+1/3*1/12)</f>
        <v>0.0344</v>
      </c>
      <c r="C60" s="186" t="n">
        <f aca="false">C$21*$B60</f>
        <v>61.4388586666667</v>
      </c>
      <c r="D60" s="186" t="n">
        <f aca="false">D$21*$B60</f>
        <v>89.5811546666666</v>
      </c>
      <c r="E60" s="186" t="n">
        <f aca="false">E$21*$B60</f>
        <v>185.398972</v>
      </c>
      <c r="F60" s="187" t="n">
        <f aca="false">F$21*$B60</f>
        <v>214.82873783872</v>
      </c>
      <c r="AMF60" s="116"/>
    </row>
    <row r="61" customFormat="false" ht="15.75" hidden="false" customHeight="true" outlineLevel="0" collapsed="false">
      <c r="A61" s="159" t="s">
        <v>7</v>
      </c>
      <c r="B61" s="170" t="n">
        <f aca="false">SUM(B55:B60)</f>
        <v>0.0655</v>
      </c>
      <c r="C61" s="188" t="n">
        <f aca="false">SUM(C55:C60)</f>
        <v>116.983873333333</v>
      </c>
      <c r="D61" s="188" t="n">
        <f aca="false">SUM(D55:D60)</f>
        <v>170.568768333333</v>
      </c>
      <c r="E61" s="188" t="n">
        <f aca="false">SUM(E55:E60)</f>
        <v>353.0125775</v>
      </c>
      <c r="F61" s="189" t="n">
        <f aca="false">SUM(F55:F60)</f>
        <v>409.0489048964</v>
      </c>
      <c r="AMF61" s="116"/>
    </row>
    <row r="62" customFormat="false" ht="15.75" hidden="false" customHeight="true" outlineLevel="0" collapsed="false">
      <c r="A62" s="163"/>
      <c r="B62" s="163"/>
      <c r="C62" s="190"/>
      <c r="D62" s="190"/>
      <c r="E62" s="190"/>
      <c r="F62" s="191"/>
      <c r="AMF62" s="116"/>
    </row>
    <row r="63" customFormat="false" ht="15.75" hidden="false" customHeight="true" outlineLevel="0" collapsed="false">
      <c r="A63" s="147" t="s">
        <v>650</v>
      </c>
      <c r="B63" s="147"/>
      <c r="C63" s="147"/>
      <c r="D63" s="147"/>
      <c r="E63" s="147"/>
      <c r="F63" s="147"/>
      <c r="AMF63" s="116"/>
    </row>
    <row r="64" customFormat="false" ht="15.75" hidden="false" customHeight="true" outlineLevel="0" collapsed="false">
      <c r="A64" s="166" t="s">
        <v>651</v>
      </c>
      <c r="B64" s="167" t="s">
        <v>633</v>
      </c>
      <c r="C64" s="167" t="s">
        <v>610</v>
      </c>
      <c r="D64" s="167" t="s">
        <v>610</v>
      </c>
      <c r="E64" s="167" t="s">
        <v>610</v>
      </c>
      <c r="F64" s="168" t="s">
        <v>610</v>
      </c>
      <c r="AMF64" s="116"/>
    </row>
    <row r="65" customFormat="false" ht="15.75" hidden="false" customHeight="true" outlineLevel="0" collapsed="false">
      <c r="A65" s="169" t="s">
        <v>652</v>
      </c>
      <c r="B65" s="157" t="n">
        <f aca="false">1/12</f>
        <v>0.0833333333333333</v>
      </c>
      <c r="C65" s="174" t="n">
        <f aca="false">$B65*(C$21+(C$51-C$40-C$41)+C$61)</f>
        <v>237.953224012346</v>
      </c>
      <c r="D65" s="174" t="n">
        <f aca="false">$B65*(D$21+(D$51-D$40-D$41)+D$61)</f>
        <v>346.044025447531</v>
      </c>
      <c r="E65" s="174" t="n">
        <f aca="false">$B65*(E$21+(E$51-E$40-E$41)+E$61)</f>
        <v>714.066337476852</v>
      </c>
      <c r="F65" s="175" t="n">
        <f aca="false">$B65*(F$21+(F$51-F$40-F$41)+F$61)</f>
        <v>827.099430976552</v>
      </c>
      <c r="AMF65" s="116"/>
    </row>
    <row r="66" customFormat="false" ht="15.75" hidden="false" customHeight="true" outlineLevel="0" collapsed="false">
      <c r="A66" s="169" t="s">
        <v>653</v>
      </c>
      <c r="B66" s="157" t="n">
        <f aca="false">(2.96/30/12)</f>
        <v>0.00822222222222222</v>
      </c>
      <c r="C66" s="174" t="n">
        <f aca="false">$B66*(C$21+(C$51-C$40-C$41)+C$61)</f>
        <v>23.4780514358848</v>
      </c>
      <c r="D66" s="174" t="n">
        <f aca="false">$B66*(D$21+(D$51-D$40-D$41)+D$61)</f>
        <v>34.143010510823</v>
      </c>
      <c r="E66" s="174" t="n">
        <f aca="false">$B66*(E$21+(E$51-E$40-E$41)+E$61)</f>
        <v>70.4545452977161</v>
      </c>
      <c r="F66" s="175" t="n">
        <f aca="false">$B66*(F$21+(F$51-F$40-F$41)+F$61)</f>
        <v>81.6071438563531</v>
      </c>
      <c r="AMF66" s="116"/>
    </row>
    <row r="67" customFormat="false" ht="15.75" hidden="false" customHeight="true" outlineLevel="0" collapsed="false">
      <c r="A67" s="169" t="s">
        <v>654</v>
      </c>
      <c r="B67" s="192" t="n">
        <f aca="false">(((20/30/12)*(0.89*0.01356)))</f>
        <v>0.000670466666666667</v>
      </c>
      <c r="C67" s="174" t="n">
        <f aca="false">$B67*(C$21+(C$51-C$40-C$41)+C$61)</f>
        <v>1.91447645911373</v>
      </c>
      <c r="D67" s="174" t="n">
        <f aca="false">$B67*(D$21+(D$51-D$40-D$41)+D$61)</f>
        <v>2.78413181114065</v>
      </c>
      <c r="E67" s="174" t="n">
        <f aca="false">$B67*(E$21+(E$51-E$40-E$41)+E$61)</f>
        <v>5.74509212480376</v>
      </c>
      <c r="F67" s="175" t="n">
        <f aca="false">$B67*(F$21+(F$51-F$40-F$41)+F$61)</f>
        <v>6.65451118186494</v>
      </c>
      <c r="AMF67" s="116"/>
    </row>
    <row r="68" customFormat="false" ht="15.75" hidden="false" customHeight="true" outlineLevel="0" collapsed="false">
      <c r="A68" s="169" t="s">
        <v>655</v>
      </c>
      <c r="B68" s="192" t="n">
        <f aca="false">((15/30/12)*(148775/46236176)*100)</f>
        <v>0.0134071605171962</v>
      </c>
      <c r="C68" s="174" t="n">
        <f aca="false">$B68*(C$21+(C$51-C$40-C$41)+C$61)</f>
        <v>38.2833248390143</v>
      </c>
      <c r="D68" s="174" t="n">
        <f aca="false">$B68*(D$21+(D$51-D$40-D$41)+D$61)</f>
        <v>55.6736135423012</v>
      </c>
      <c r="E68" s="174" t="n">
        <f aca="false">$B68*(E$21+(E$51-E$40-E$41)+E$61)</f>
        <v>114.883224077742</v>
      </c>
      <c r="F68" s="175" t="n">
        <f aca="false">$B68*(F$21+(F$51-F$40-F$41)+F$61)</f>
        <v>133.068658017411</v>
      </c>
      <c r="AMF68" s="116"/>
    </row>
    <row r="69" customFormat="false" ht="15.75" hidden="false" customHeight="true" outlineLevel="0" collapsed="false">
      <c r="A69" s="169" t="s">
        <v>656</v>
      </c>
      <c r="B69" s="157" t="n">
        <f aca="false">(((180/30/12)*(0.01356*0.11)*B38))</f>
        <v>0.0002744544</v>
      </c>
      <c r="C69" s="174" t="n">
        <f aca="false">$B69*(C$21+(C$51-C$40-C$41)+C$61)</f>
        <v>0.783687711892487</v>
      </c>
      <c r="D69" s="174" t="n">
        <f aca="false">$B69*(D$21+(D$51-D$40-D$41)+D$61)</f>
        <v>1.13967966453344</v>
      </c>
      <c r="E69" s="174" t="n">
        <f aca="false">$B69*(E$21+(E$51-E$40-E$41)+E$61)</f>
        <v>2.35174377854888</v>
      </c>
      <c r="F69" s="175" t="n">
        <f aca="false">$B69*(F$21+(F$51-F$40-F$41)+F$61)</f>
        <v>2.72401293682813</v>
      </c>
      <c r="AMF69" s="116"/>
    </row>
    <row r="70" customFormat="false" ht="15.75" hidden="false" customHeight="true" outlineLevel="0" collapsed="false">
      <c r="A70" s="169" t="s">
        <v>657</v>
      </c>
      <c r="B70" s="157"/>
      <c r="C70" s="174"/>
      <c r="D70" s="174"/>
      <c r="E70" s="174"/>
      <c r="F70" s="175"/>
      <c r="AMF70" s="116"/>
    </row>
    <row r="71" customFormat="false" ht="15.75" hidden="false" customHeight="true" outlineLevel="0" collapsed="false">
      <c r="A71" s="193" t="s">
        <v>658</v>
      </c>
      <c r="B71" s="194" t="n">
        <f aca="false">SUM(B65:B70)</f>
        <v>0.105907637139418</v>
      </c>
      <c r="C71" s="195" t="n">
        <f aca="false">SUM(C65:C70)</f>
        <v>302.412764458251</v>
      </c>
      <c r="D71" s="195" t="n">
        <f aca="false">SUM(D65:D70)</f>
        <v>439.784460976329</v>
      </c>
      <c r="E71" s="195" t="n">
        <f aca="false">SUM(E65:E70)</f>
        <v>907.500942755663</v>
      </c>
      <c r="F71" s="196" t="n">
        <f aca="false">SUM(F65:F70)</f>
        <v>1051.15375696901</v>
      </c>
      <c r="AMF71" s="116"/>
    </row>
    <row r="72" customFormat="false" ht="15.75" hidden="false" customHeight="true" outlineLevel="0" collapsed="false">
      <c r="A72" s="166" t="s">
        <v>659</v>
      </c>
      <c r="B72" s="167" t="s">
        <v>633</v>
      </c>
      <c r="C72" s="167" t="s">
        <v>610</v>
      </c>
      <c r="D72" s="167" t="s">
        <v>610</v>
      </c>
      <c r="E72" s="167" t="s">
        <v>610</v>
      </c>
      <c r="F72" s="168" t="s">
        <v>610</v>
      </c>
      <c r="AMF72" s="116"/>
    </row>
    <row r="73" customFormat="false" ht="15.75" hidden="false" customHeight="true" outlineLevel="0" collapsed="false">
      <c r="A73" s="169" t="s">
        <v>660</v>
      </c>
      <c r="B73" s="157" t="n">
        <v>0.5</v>
      </c>
      <c r="C73" s="174"/>
      <c r="D73" s="174"/>
      <c r="E73" s="174" t="n">
        <f aca="false">ROUND(E$21/220*15*0.5*(1+$B77),2)</f>
        <v>275.6</v>
      </c>
      <c r="F73" s="175" t="n">
        <f aca="false">ROUND(F$21/220*15*0.5*(1+$B77),2)</f>
        <v>319.35</v>
      </c>
      <c r="AMF73" s="116"/>
    </row>
    <row r="74" customFormat="false" ht="15.75" hidden="false" customHeight="true" outlineLevel="0" collapsed="false">
      <c r="A74" s="193" t="s">
        <v>7</v>
      </c>
      <c r="B74" s="194"/>
      <c r="C74" s="195"/>
      <c r="D74" s="195"/>
      <c r="E74" s="195" t="n">
        <f aca="false">E73</f>
        <v>275.6</v>
      </c>
      <c r="F74" s="196" t="n">
        <f aca="false">F73</f>
        <v>319.35</v>
      </c>
      <c r="AMF74" s="116"/>
    </row>
    <row r="75" customFormat="false" ht="15.75" hidden="false" customHeight="true" outlineLevel="0" collapsed="false">
      <c r="A75" s="148" t="s">
        <v>661</v>
      </c>
      <c r="B75" s="149" t="s">
        <v>633</v>
      </c>
      <c r="C75" s="149" t="s">
        <v>610</v>
      </c>
      <c r="D75" s="149" t="s">
        <v>610</v>
      </c>
      <c r="E75" s="149" t="s">
        <v>610</v>
      </c>
      <c r="F75" s="150" t="s">
        <v>610</v>
      </c>
      <c r="AMF75" s="116"/>
    </row>
    <row r="76" customFormat="false" ht="15.75" hidden="false" customHeight="true" outlineLevel="0" collapsed="false">
      <c r="A76" s="169" t="s">
        <v>651</v>
      </c>
      <c r="B76" s="182" t="n">
        <f aca="false">B71</f>
        <v>0.105907637139418</v>
      </c>
      <c r="C76" s="183" t="n">
        <f aca="false">C71</f>
        <v>302.412764458251</v>
      </c>
      <c r="D76" s="183" t="n">
        <f aca="false">D71</f>
        <v>439.784460976329</v>
      </c>
      <c r="E76" s="183" t="n">
        <f aca="false">E71</f>
        <v>907.500942755663</v>
      </c>
      <c r="F76" s="184" t="n">
        <f aca="false">F71</f>
        <v>1051.15375696901</v>
      </c>
      <c r="AMF76" s="116"/>
    </row>
    <row r="77" customFormat="false" ht="15.75" hidden="false" customHeight="true" outlineLevel="0" collapsed="false">
      <c r="A77" s="169" t="s">
        <v>659</v>
      </c>
      <c r="B77" s="182" t="n">
        <f aca="false">B73</f>
        <v>0.5</v>
      </c>
      <c r="C77" s="183" t="n">
        <f aca="false">C73</f>
        <v>0</v>
      </c>
      <c r="D77" s="183" t="n">
        <f aca="false">D73</f>
        <v>0</v>
      </c>
      <c r="E77" s="183" t="n">
        <f aca="false">E74</f>
        <v>275.6</v>
      </c>
      <c r="F77" s="184" t="n">
        <f aca="false">F73</f>
        <v>319.35</v>
      </c>
      <c r="G77" s="197"/>
      <c r="AMF77" s="116"/>
    </row>
    <row r="78" customFormat="false" ht="15.75" hidden="false" customHeight="true" outlineLevel="0" collapsed="false">
      <c r="A78" s="159" t="s">
        <v>7</v>
      </c>
      <c r="B78" s="160"/>
      <c r="C78" s="161" t="n">
        <f aca="false">SUM(C76:C77)</f>
        <v>302.412764458251</v>
      </c>
      <c r="D78" s="161" t="n">
        <f aca="false">SUM(D76:D77)</f>
        <v>439.784460976329</v>
      </c>
      <c r="E78" s="161" t="n">
        <f aca="false">SUM(E76:E77)</f>
        <v>1183.10094275566</v>
      </c>
      <c r="F78" s="162" t="n">
        <f aca="false">SUM(F76:F77)</f>
        <v>1370.50375696901</v>
      </c>
      <c r="AMF78" s="116"/>
    </row>
    <row r="79" customFormat="false" ht="15.75" hidden="false" customHeight="true" outlineLevel="0" collapsed="false">
      <c r="A79" s="163"/>
      <c r="B79" s="164"/>
      <c r="C79" s="164"/>
      <c r="D79" s="164"/>
      <c r="E79" s="164"/>
      <c r="F79" s="165"/>
      <c r="AMF79" s="116"/>
    </row>
    <row r="80" customFormat="false" ht="15.75" hidden="false" customHeight="true" outlineLevel="0" collapsed="false">
      <c r="A80" s="147" t="s">
        <v>662</v>
      </c>
      <c r="B80" s="147"/>
      <c r="C80" s="147"/>
      <c r="D80" s="147"/>
      <c r="E80" s="147"/>
      <c r="F80" s="147"/>
      <c r="AMF80" s="116"/>
    </row>
    <row r="81" customFormat="false" ht="15.75" hidden="false" customHeight="true" outlineLevel="0" collapsed="false">
      <c r="A81" s="148" t="s">
        <v>663</v>
      </c>
      <c r="B81" s="149" t="s">
        <v>633</v>
      </c>
      <c r="C81" s="149" t="s">
        <v>610</v>
      </c>
      <c r="D81" s="149" t="s">
        <v>610</v>
      </c>
      <c r="E81" s="149" t="s">
        <v>610</v>
      </c>
      <c r="F81" s="150" t="s">
        <v>610</v>
      </c>
      <c r="AMF81" s="116"/>
    </row>
    <row r="82" customFormat="false" ht="15.75" hidden="false" customHeight="true" outlineLevel="0" collapsed="false">
      <c r="A82" s="169" t="s">
        <v>664</v>
      </c>
      <c r="B82" s="198" t="n">
        <f aca="false">Insumos!F12</f>
        <v>86.8083333333333</v>
      </c>
      <c r="C82" s="154" t="n">
        <f aca="false">Insumos!$F$12</f>
        <v>86.8083333333333</v>
      </c>
      <c r="D82" s="154" t="n">
        <f aca="false">Insumos!$F$12</f>
        <v>86.8083333333333</v>
      </c>
      <c r="E82" s="154" t="n">
        <f aca="false">Insumos!$F$12*2</f>
        <v>173.616666666667</v>
      </c>
      <c r="F82" s="155" t="n">
        <f aca="false">Insumos!$F$12*2</f>
        <v>173.616666666667</v>
      </c>
      <c r="AMF82" s="116"/>
    </row>
    <row r="83" customFormat="false" ht="15.75" hidden="false" customHeight="true" outlineLevel="0" collapsed="false">
      <c r="A83" s="199" t="s">
        <v>665</v>
      </c>
      <c r="B83" s="198"/>
      <c r="C83" s="154"/>
      <c r="D83" s="154"/>
      <c r="E83" s="154"/>
      <c r="F83" s="155"/>
      <c r="AMF83" s="116"/>
    </row>
    <row r="84" customFormat="false" ht="15.75" hidden="false" customHeight="true" outlineLevel="0" collapsed="false">
      <c r="A84" s="199" t="s">
        <v>666</v>
      </c>
      <c r="B84" s="200" t="n">
        <f aca="false">Insumos!F26</f>
        <v>13.7157173913044</v>
      </c>
      <c r="C84" s="154" t="n">
        <f aca="false">Insumos!$F$26</f>
        <v>13.7157173913044</v>
      </c>
      <c r="D84" s="154" t="n">
        <f aca="false">Insumos!$F$26</f>
        <v>13.7157173913044</v>
      </c>
      <c r="E84" s="154" t="n">
        <f aca="false">Insumos!$F$26</f>
        <v>13.7157173913044</v>
      </c>
      <c r="F84" s="155" t="n">
        <f aca="false">Insumos!$F$26</f>
        <v>13.7157173913044</v>
      </c>
      <c r="AMF84" s="116"/>
    </row>
    <row r="85" customFormat="false" ht="15.75" hidden="false" customHeight="true" outlineLevel="0" collapsed="false">
      <c r="A85" s="199" t="s">
        <v>667</v>
      </c>
      <c r="B85" s="198"/>
      <c r="C85" s="154"/>
      <c r="D85" s="154"/>
      <c r="E85" s="154"/>
      <c r="F85" s="155"/>
      <c r="AMF85" s="116"/>
    </row>
    <row r="86" customFormat="false" ht="15.75" hidden="false" customHeight="true" outlineLevel="0" collapsed="false">
      <c r="A86" s="199" t="s">
        <v>668</v>
      </c>
      <c r="B86" s="157"/>
      <c r="C86" s="154"/>
      <c r="D86" s="154"/>
      <c r="E86" s="154"/>
      <c r="F86" s="155"/>
      <c r="AMF86" s="116"/>
    </row>
    <row r="87" customFormat="false" ht="15.75" hidden="false" customHeight="true" outlineLevel="0" collapsed="false">
      <c r="A87" s="199" t="s">
        <v>669</v>
      </c>
      <c r="B87" s="198"/>
      <c r="C87" s="154"/>
      <c r="D87" s="154"/>
      <c r="E87" s="154"/>
      <c r="F87" s="155"/>
      <c r="AMF87" s="116"/>
    </row>
    <row r="88" customFormat="false" ht="15.75" hidden="false" customHeight="true" outlineLevel="0" collapsed="false">
      <c r="A88" s="199" t="s">
        <v>670</v>
      </c>
      <c r="B88" s="198"/>
      <c r="C88" s="154"/>
      <c r="D88" s="154"/>
      <c r="E88" s="154"/>
      <c r="F88" s="155"/>
      <c r="AMF88" s="116"/>
    </row>
    <row r="89" customFormat="false" ht="15.75" hidden="false" customHeight="true" outlineLevel="0" collapsed="false">
      <c r="A89" s="193" t="s">
        <v>7</v>
      </c>
      <c r="B89" s="201"/>
      <c r="C89" s="195" t="n">
        <f aca="false">SUM(C82:C88)</f>
        <v>100.524050724638</v>
      </c>
      <c r="D89" s="195" t="n">
        <f aca="false">SUM(D82:D88)</f>
        <v>100.524050724638</v>
      </c>
      <c r="E89" s="195" t="n">
        <f aca="false">SUM(E82:E88)</f>
        <v>187.332384057971</v>
      </c>
      <c r="F89" s="196" t="n">
        <f aca="false">SUM(F82:F88)</f>
        <v>187.332384057971</v>
      </c>
      <c r="AMF89" s="116"/>
    </row>
    <row r="90" customFormat="false" ht="15.75" hidden="false" customHeight="true" outlineLevel="0" collapsed="false">
      <c r="A90" s="202"/>
      <c r="B90" s="203"/>
      <c r="C90" s="164"/>
      <c r="D90" s="164"/>
      <c r="E90" s="164"/>
      <c r="F90" s="165"/>
      <c r="AMF90" s="116"/>
    </row>
    <row r="91" customFormat="false" ht="15.75" hidden="false" customHeight="true" outlineLevel="0" collapsed="false">
      <c r="A91" s="147" t="s">
        <v>671</v>
      </c>
      <c r="B91" s="147"/>
      <c r="C91" s="147"/>
      <c r="D91" s="147"/>
      <c r="E91" s="147"/>
      <c r="F91" s="147"/>
      <c r="AMF91" s="116"/>
    </row>
    <row r="92" customFormat="false" ht="15.75" hidden="false" customHeight="true" outlineLevel="0" collapsed="false">
      <c r="A92" s="148" t="s">
        <v>672</v>
      </c>
      <c r="B92" s="149" t="s">
        <v>609</v>
      </c>
      <c r="C92" s="149" t="s">
        <v>610</v>
      </c>
      <c r="D92" s="149" t="s">
        <v>610</v>
      </c>
      <c r="E92" s="149" t="s">
        <v>610</v>
      </c>
      <c r="F92" s="150" t="s">
        <v>610</v>
      </c>
      <c r="AMF92" s="116"/>
    </row>
    <row r="93" customFormat="false" ht="15.75" hidden="false" customHeight="true" outlineLevel="0" collapsed="false">
      <c r="A93" s="152" t="s">
        <v>673</v>
      </c>
      <c r="B93" s="157" t="n">
        <f aca="false">MC!B75</f>
        <v>0.03</v>
      </c>
      <c r="C93" s="174" t="n">
        <f aca="false">(C$21+C$51+C$61+C$78+C$89)*$B$93</f>
        <v>115.453965099931</v>
      </c>
      <c r="D93" s="174" t="n">
        <f aca="false">(D$21+D$51+D$61+D$78+D$89)*$B$93</f>
        <v>157.35500451214</v>
      </c>
      <c r="E93" s="174" t="n">
        <f aca="false">(E$21+E$51+E$61+E$78+E$89)*$B$93</f>
        <v>318.506681296076</v>
      </c>
      <c r="F93" s="175" t="n">
        <f aca="false">(F$21+F$51+F$61+F$78+F$89)*$B$93</f>
        <v>364.820679382368</v>
      </c>
      <c r="AMF93" s="116"/>
    </row>
    <row r="94" customFormat="false" ht="15.75" hidden="false" customHeight="true" outlineLevel="0" collapsed="false">
      <c r="A94" s="152" t="s">
        <v>674</v>
      </c>
      <c r="B94" s="157" t="n">
        <f aca="false">MC!B76</f>
        <v>0.0679</v>
      </c>
      <c r="C94" s="174" t="n">
        <f aca="false">(C$21+C$51+C$61+C$78+C$89+C$93)*$B$94</f>
        <v>269.150131906463</v>
      </c>
      <c r="D94" s="174" t="n">
        <f aca="false">(D$21+D$51+D$61+D$78+D$89+D$93)*$B$94</f>
        <v>366.831231685518</v>
      </c>
      <c r="E94" s="174" t="n">
        <f aca="false">(E$21+E$51+E$61+E$78+E$89+E$93)*$B$94</f>
        <v>742.513392326788</v>
      </c>
      <c r="F94" s="175" t="n">
        <f aca="false">(F$21+F$51+F$61+F$78+F$89+F$93)*$B$94</f>
        <v>850.482128465489</v>
      </c>
      <c r="AMF94" s="116"/>
    </row>
    <row r="95" customFormat="false" ht="15.75" hidden="false" customHeight="true" outlineLevel="0" collapsed="false">
      <c r="A95" s="204" t="s">
        <v>699</v>
      </c>
      <c r="B95" s="205" t="n">
        <f aca="false">B96+B97</f>
        <v>0.0615</v>
      </c>
      <c r="C95" s="206" t="n">
        <f aca="false">((C$21+C$51+C$61+C$78+C$89+C$93+C$94)/(1-($B$95)))*$B$95</f>
        <v>277.393479404104</v>
      </c>
      <c r="D95" s="206" t="n">
        <f aca="false">((D$21+D$51+D$61+D$78+D$89+D$93+D$94)/(1-($B$95)))*$B$95</f>
        <v>378.066289585555</v>
      </c>
      <c r="E95" s="206" t="n">
        <f aca="false">((E$21+E$51+E$61+E$78+E$89+E$93+E$94)/(1-($B$95)))*$B$95</f>
        <v>765.254588369484</v>
      </c>
      <c r="F95" s="207" t="n">
        <f aca="false">((F$21+F$51+F$61+F$78+F$89+F$93+F$94)/(1-($B$95)))*$B$95</f>
        <v>876.530117652102</v>
      </c>
      <c r="G95" s="156"/>
      <c r="AMF95" s="116"/>
    </row>
    <row r="96" customFormat="false" ht="15.75" hidden="false" customHeight="true" outlineLevel="0" collapsed="false">
      <c r="A96" s="152" t="s">
        <v>676</v>
      </c>
      <c r="B96" s="157" t="n">
        <f aca="false">0.0065+0.03</f>
        <v>0.0365</v>
      </c>
      <c r="C96" s="208" t="n">
        <f aca="false">((C$21+C$51+C$61+C$78+C$89+C$93+C$94)/(1-($B$95)))*$B$96</f>
        <v>164.631902410566</v>
      </c>
      <c r="D96" s="208" t="n">
        <f aca="false">((D$21+D$51+D$61+D$78+D$89+D$93+D$94)/(1-($B$95)))*$B$96</f>
        <v>224.380806014191</v>
      </c>
      <c r="E96" s="208" t="n">
        <f aca="false">((E$21+E$51+E$61+E$78+E$89+E$93+E$94)/(1-($B$95)))*$B$96</f>
        <v>454.175487406279</v>
      </c>
      <c r="F96" s="209" t="n">
        <f aca="false">((F$21+F$51+F$61+F$78+F$89+F$93+F$94)/(1-($B$95)))*$B$96</f>
        <v>520.217061695963</v>
      </c>
      <c r="AMF96" s="116"/>
    </row>
    <row r="97" customFormat="false" ht="15.75" hidden="false" customHeight="true" outlineLevel="0" collapsed="false">
      <c r="A97" s="152" t="s">
        <v>677</v>
      </c>
      <c r="B97" s="157" t="n">
        <v>0.025</v>
      </c>
      <c r="C97" s="208" t="n">
        <f aca="false">((C$21+C$51+C$61+C$78+C$89+C$93+C$94)/(1-($B$95)))*$B$97</f>
        <v>112.761576993538</v>
      </c>
      <c r="D97" s="208" t="n">
        <f aca="false">((D$21+D$51+D$61+D$78+D$89+D$93+D$94)/(1-($B$95)))*$B$97</f>
        <v>153.685483571364</v>
      </c>
      <c r="E97" s="208" t="n">
        <f aca="false">((E$21+E$51+E$61+E$78+E$89+E$93+E$94)/(1-($B$95)))*$B$97</f>
        <v>311.079100963205</v>
      </c>
      <c r="F97" s="209" t="n">
        <f aca="false">((F$21+F$51+F$61+F$78+F$89+F$93+F$94)/(1-($B$95)))*$B$97</f>
        <v>356.313055956139</v>
      </c>
      <c r="AMF97" s="116"/>
    </row>
    <row r="98" customFormat="false" ht="15.75" hidden="false" customHeight="true" outlineLevel="0" collapsed="false">
      <c r="A98" s="210" t="s">
        <v>683</v>
      </c>
      <c r="B98" s="211" t="n">
        <f aca="false">B97</f>
        <v>0.025</v>
      </c>
      <c r="C98" s="212" t="n">
        <f aca="false">C$93+C$94+C$95</f>
        <v>661.997576410498</v>
      </c>
      <c r="D98" s="212" t="n">
        <f aca="false">D$93+D$94+D$95</f>
        <v>902.252525783213</v>
      </c>
      <c r="E98" s="212" t="n">
        <f aca="false">E$93+E$94+E$95</f>
        <v>1826.27466199235</v>
      </c>
      <c r="F98" s="213" t="n">
        <f aca="false">F$93+F$94+F$95</f>
        <v>2091.83292549996</v>
      </c>
      <c r="AMF98" s="116"/>
    </row>
    <row r="99" customFormat="false" ht="15.75" hidden="false" customHeight="true" outlineLevel="0" collapsed="false">
      <c r="A99" s="152" t="s">
        <v>684</v>
      </c>
      <c r="B99" s="214"/>
      <c r="C99" s="215"/>
      <c r="D99" s="215"/>
      <c r="E99" s="215"/>
      <c r="F99" s="216"/>
      <c r="AMF99" s="116"/>
    </row>
    <row r="100" customFormat="false" ht="15.75" hidden="false" customHeight="true" outlineLevel="0" collapsed="false">
      <c r="A100" s="193"/>
      <c r="B100" s="194"/>
      <c r="C100" s="195"/>
      <c r="D100" s="195"/>
      <c r="E100" s="195"/>
      <c r="F100" s="196"/>
      <c r="AMF100" s="116"/>
    </row>
    <row r="101" customFormat="false" ht="15.75" hidden="false" customHeight="true" outlineLevel="0" collapsed="false">
      <c r="A101" s="217"/>
      <c r="B101" s="217"/>
      <c r="C101" s="217"/>
      <c r="D101" s="217"/>
      <c r="E101" s="217"/>
      <c r="F101" s="217"/>
      <c r="AMF101" s="116"/>
    </row>
    <row r="102" customFormat="false" ht="15.75" hidden="false" customHeight="true" outlineLevel="0" collapsed="false">
      <c r="A102" s="254"/>
      <c r="B102" s="254"/>
      <c r="C102" s="254"/>
      <c r="D102" s="254"/>
      <c r="E102" s="254"/>
      <c r="F102" s="254"/>
      <c r="AMF102" s="116"/>
    </row>
    <row r="103" customFormat="false" ht="66" hidden="false" customHeight="true" outlineLevel="0" collapsed="false">
      <c r="A103" s="255" t="s">
        <v>685</v>
      </c>
      <c r="B103" s="255"/>
      <c r="C103" s="256" t="str">
        <f aca="false">C11</f>
        <v>Posto 30 horas semanais de segunda sexta DIURNO (1 Vigilante)</v>
      </c>
      <c r="D103" s="256" t="str">
        <f aca="false">D11</f>
        <v>Posto 44 horas semanais de segunda sexta DIURNO (1 vigilante)</v>
      </c>
      <c r="E103" s="256" t="str">
        <f aca="false">E11</f>
        <v>Posto 12 x 36 DIURNO de segunda a domingo (2 vigilantes)</v>
      </c>
      <c r="F103" s="257" t="str">
        <f aca="false">F11</f>
        <v>Posto 12 x 36 NOTURNO de segunda a domingo (2 vigilantes)</v>
      </c>
      <c r="AMF103" s="116"/>
    </row>
    <row r="104" customFormat="false" ht="15.75" hidden="false" customHeight="true" outlineLevel="0" collapsed="false">
      <c r="A104" s="222" t="s">
        <v>686</v>
      </c>
      <c r="B104" s="223" t="s">
        <v>2</v>
      </c>
      <c r="C104" s="224" t="s">
        <v>610</v>
      </c>
      <c r="D104" s="224" t="s">
        <v>610</v>
      </c>
      <c r="E104" s="224" t="s">
        <v>610</v>
      </c>
      <c r="F104" s="225" t="s">
        <v>610</v>
      </c>
      <c r="AMF104" s="116"/>
    </row>
    <row r="105" customFormat="false" ht="14.25" hidden="false" customHeight="true" outlineLevel="0" collapsed="false">
      <c r="A105" s="226" t="s">
        <v>687</v>
      </c>
      <c r="B105" s="227"/>
      <c r="C105" s="228" t="n">
        <f aca="false">C21</f>
        <v>1786.01333333333</v>
      </c>
      <c r="D105" s="228" t="n">
        <f aca="false">D21</f>
        <v>2604.10333333333</v>
      </c>
      <c r="E105" s="228" t="n">
        <f aca="false">E21</f>
        <v>5389.505</v>
      </c>
      <c r="F105" s="229" t="n">
        <f aca="false">F21</f>
        <v>6245.0214488</v>
      </c>
      <c r="AMF105" s="116"/>
    </row>
    <row r="106" customFormat="false" ht="14.25" hidden="false" customHeight="true" outlineLevel="0" collapsed="false">
      <c r="A106" s="226" t="s">
        <v>688</v>
      </c>
      <c r="B106" s="227"/>
      <c r="C106" s="228" t="n">
        <f aca="false">C51</f>
        <v>1542.53148148148</v>
      </c>
      <c r="D106" s="228" t="n">
        <f aca="false">D51</f>
        <v>1930.1862037037</v>
      </c>
      <c r="E106" s="228" t="n">
        <f aca="false">E51</f>
        <v>3503.93847222222</v>
      </c>
      <c r="F106" s="229" t="n">
        <f aca="false">F51</f>
        <v>3948.78281802222</v>
      </c>
      <c r="AMF106" s="116"/>
    </row>
    <row r="107" customFormat="false" ht="14.25" hidden="false" customHeight="true" outlineLevel="0" collapsed="false">
      <c r="A107" s="226" t="s">
        <v>689</v>
      </c>
      <c r="B107" s="227"/>
      <c r="C107" s="228" t="n">
        <f aca="false">C61</f>
        <v>116.983873333333</v>
      </c>
      <c r="D107" s="228" t="n">
        <f aca="false">D61</f>
        <v>170.568768333333</v>
      </c>
      <c r="E107" s="228" t="n">
        <f aca="false">E61</f>
        <v>353.0125775</v>
      </c>
      <c r="F107" s="229" t="n">
        <f aca="false">F61</f>
        <v>409.0489048964</v>
      </c>
      <c r="AMF107" s="116"/>
    </row>
    <row r="108" customFormat="false" ht="14.25" hidden="false" customHeight="true" outlineLevel="0" collapsed="false">
      <c r="A108" s="226" t="s">
        <v>690</v>
      </c>
      <c r="B108" s="227"/>
      <c r="C108" s="228" t="n">
        <f aca="false">C78</f>
        <v>302.412764458251</v>
      </c>
      <c r="D108" s="228" t="n">
        <f aca="false">D78</f>
        <v>439.784460976329</v>
      </c>
      <c r="E108" s="228" t="n">
        <f aca="false">E78</f>
        <v>1183.10094275566</v>
      </c>
      <c r="F108" s="229" t="n">
        <f aca="false">F78</f>
        <v>1370.50375696901</v>
      </c>
      <c r="AMF108" s="116"/>
    </row>
    <row r="109" customFormat="false" ht="15.75" hidden="false" customHeight="true" outlineLevel="0" collapsed="false">
      <c r="A109" s="226" t="s">
        <v>691</v>
      </c>
      <c r="B109" s="227"/>
      <c r="C109" s="228" t="n">
        <f aca="false">C89</f>
        <v>100.524050724638</v>
      </c>
      <c r="D109" s="228" t="n">
        <f aca="false">D89</f>
        <v>100.524050724638</v>
      </c>
      <c r="E109" s="228" t="n">
        <f aca="false">E89</f>
        <v>187.332384057971</v>
      </c>
      <c r="F109" s="229" t="n">
        <f aca="false">F89</f>
        <v>187.332384057971</v>
      </c>
      <c r="AMF109" s="116"/>
    </row>
    <row r="110" customFormat="false" ht="15.75" hidden="false" customHeight="true" outlineLevel="0" collapsed="false">
      <c r="A110" s="226" t="s">
        <v>692</v>
      </c>
      <c r="B110" s="227"/>
      <c r="C110" s="230" t="n">
        <f aca="false">SUM(C105:C109)</f>
        <v>3848.46550333104</v>
      </c>
      <c r="D110" s="230" t="n">
        <f aca="false">SUM(D105:D109)</f>
        <v>5245.16681707134</v>
      </c>
      <c r="E110" s="230" t="n">
        <f aca="false">SUM(E105:E109)</f>
        <v>10616.8893765359</v>
      </c>
      <c r="F110" s="231" t="n">
        <f aca="false">SUM(F105:F109)</f>
        <v>12160.6893127456</v>
      </c>
      <c r="AMF110" s="116"/>
    </row>
    <row r="111" customFormat="false" ht="15.75" hidden="false" customHeight="true" outlineLevel="0" collapsed="false">
      <c r="A111" s="226" t="s">
        <v>693</v>
      </c>
      <c r="B111" s="232" t="n">
        <f aca="false">B98</f>
        <v>0.025</v>
      </c>
      <c r="C111" s="230" t="n">
        <f aca="false">C98</f>
        <v>661.997576410498</v>
      </c>
      <c r="D111" s="230" t="n">
        <f aca="false">D98</f>
        <v>902.252525783213</v>
      </c>
      <c r="E111" s="230" t="n">
        <f aca="false">E98</f>
        <v>1826.27466199235</v>
      </c>
      <c r="F111" s="231" t="n">
        <f aca="false">F98</f>
        <v>2091.83292549996</v>
      </c>
      <c r="AMF111" s="116"/>
    </row>
    <row r="112" customFormat="false" ht="15.75" hidden="false" customHeight="true" outlineLevel="0" collapsed="false">
      <c r="A112" s="237" t="s">
        <v>694</v>
      </c>
      <c r="B112" s="238" t="n">
        <f aca="false">B98</f>
        <v>0.025</v>
      </c>
      <c r="C112" s="239" t="n">
        <f aca="false">C$110+C111</f>
        <v>4510.46307974153</v>
      </c>
      <c r="D112" s="239" t="n">
        <f aca="false">D110+D111</f>
        <v>6147.41934285455</v>
      </c>
      <c r="E112" s="239" t="n">
        <f aca="false">E110+E111</f>
        <v>12443.1640385282</v>
      </c>
      <c r="F112" s="240" t="n">
        <f aca="false">F110+F111</f>
        <v>14252.5222382456</v>
      </c>
      <c r="AMF112" s="116"/>
    </row>
    <row r="113" customFormat="false" ht="14.25" hidden="false" customHeight="true" outlineLevel="0" collapsed="false">
      <c r="A113" s="241" t="s">
        <v>695</v>
      </c>
      <c r="B113" s="258" t="n">
        <f aca="false">B97</f>
        <v>0.025</v>
      </c>
      <c r="C113" s="259"/>
      <c r="D113" s="259" t="n">
        <f aca="false">D112/220</f>
        <v>27.9428151947934</v>
      </c>
      <c r="E113" s="259"/>
      <c r="F113" s="251" t="n">
        <f aca="false">(F112/2)/220</f>
        <v>32.3920959960126</v>
      </c>
      <c r="G113" s="260"/>
    </row>
    <row r="115" customFormat="false" ht="45.75" hidden="false" customHeight="true" outlineLevel="0" collapsed="false">
      <c r="A115" s="252" t="s">
        <v>696</v>
      </c>
      <c r="B115" s="252"/>
      <c r="C115" s="252"/>
      <c r="D115" s="252"/>
      <c r="E115" s="252"/>
      <c r="F115" s="252"/>
    </row>
  </sheetData>
  <mergeCells count="17">
    <mergeCell ref="A1:F1"/>
    <mergeCell ref="A2:F2"/>
    <mergeCell ref="A3:F3"/>
    <mergeCell ref="C5:F5"/>
    <mergeCell ref="A12:F12"/>
    <mergeCell ref="A22:B22"/>
    <mergeCell ref="A23:F23"/>
    <mergeCell ref="A52:B52"/>
    <mergeCell ref="A53:F53"/>
    <mergeCell ref="A62:B62"/>
    <mergeCell ref="A63:F63"/>
    <mergeCell ref="A80:F80"/>
    <mergeCell ref="A91:F91"/>
    <mergeCell ref="A101:F101"/>
    <mergeCell ref="A102:F102"/>
    <mergeCell ref="A103:B103"/>
    <mergeCell ref="A115:F1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false"/>
  </sheetPr>
  <dimension ref="A1:AMF115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87" zoomScalePageLayoutView="100" workbookViewId="0">
      <pane xSplit="0" ySplit="11" topLeftCell="A21" activePane="bottomLeft" state="frozen"/>
      <selection pane="topLeft" activeCell="A1" activeCellId="0" sqref="A1"/>
      <selection pane="bottomLeft" activeCell="F83" activeCellId="0" sqref="F83"/>
    </sheetView>
  </sheetViews>
  <sheetFormatPr defaultColWidth="10.30078125" defaultRowHeight="15" zeroHeight="false" outlineLevelRow="0" outlineLevelCol="0"/>
  <cols>
    <col collapsed="false" customWidth="true" hidden="false" outlineLevel="0" max="1" min="1" style="115" width="63.71"/>
    <col collapsed="false" customWidth="true" hidden="false" outlineLevel="0" max="2" min="2" style="115" width="11.42"/>
    <col collapsed="false" customWidth="true" hidden="false" outlineLevel="0" max="3" min="3" style="115" width="17"/>
    <col collapsed="false" customWidth="true" hidden="false" outlineLevel="0" max="4" min="4" style="115" width="16.71"/>
    <col collapsed="false" customWidth="true" hidden="false" outlineLevel="0" max="5" min="5" style="115" width="18.29"/>
    <col collapsed="false" customWidth="true" hidden="false" outlineLevel="0" max="6" min="6" style="115" width="17.29"/>
    <col collapsed="false" customWidth="false" hidden="false" outlineLevel="0" max="1020" min="7" style="115" width="10.29"/>
    <col collapsed="false" customWidth="true" hidden="false" outlineLevel="0" max="1024" min="1021" style="116" width="9.58"/>
  </cols>
  <sheetData>
    <row r="1" customFormat="false" ht="15.75" hidden="false" customHeight="false" outlineLevel="0" collapsed="false">
      <c r="A1" s="117" t="s">
        <v>587</v>
      </c>
      <c r="B1" s="117"/>
      <c r="C1" s="117"/>
      <c r="D1" s="117"/>
      <c r="E1" s="117"/>
      <c r="F1" s="117"/>
      <c r="AMF1" s="116"/>
    </row>
    <row r="2" customFormat="false" ht="15.75" hidden="false" customHeight="false" outlineLevel="0" collapsed="false">
      <c r="A2" s="262" t="s">
        <v>700</v>
      </c>
      <c r="B2" s="262"/>
      <c r="C2" s="262"/>
      <c r="D2" s="262"/>
      <c r="E2" s="262"/>
      <c r="F2" s="262"/>
      <c r="AMF2" s="116"/>
    </row>
    <row r="3" customFormat="false" ht="15.75" hidden="false" customHeight="true" outlineLevel="0" collapsed="false">
      <c r="A3" s="118" t="str">
        <f aca="false">' RS2-a'!A3</f>
        <v>Processo 35014.236158/2024-27</v>
      </c>
      <c r="B3" s="118"/>
      <c r="C3" s="118"/>
      <c r="D3" s="118"/>
      <c r="E3" s="118"/>
      <c r="F3" s="118"/>
      <c r="AMF3" s="116"/>
    </row>
    <row r="4" customFormat="false" ht="36" hidden="false" customHeight="false" outlineLevel="0" collapsed="false">
      <c r="A4" s="119"/>
      <c r="B4" s="120"/>
      <c r="C4" s="121" t="s">
        <v>590</v>
      </c>
      <c r="D4" s="122" t="s">
        <v>591</v>
      </c>
      <c r="E4" s="123" t="s">
        <v>592</v>
      </c>
      <c r="F4" s="124" t="s">
        <v>593</v>
      </c>
      <c r="AMF4" s="116"/>
    </row>
    <row r="5" customFormat="false" ht="15.75" hidden="false" customHeight="false" outlineLevel="0" collapsed="false">
      <c r="A5" s="125"/>
      <c r="B5" s="126" t="s">
        <v>594</v>
      </c>
      <c r="C5" s="127" t="s">
        <v>595</v>
      </c>
      <c r="D5" s="127"/>
      <c r="E5" s="127"/>
      <c r="F5" s="127"/>
      <c r="AMF5" s="116"/>
    </row>
    <row r="6" customFormat="false" ht="15" hidden="false" customHeight="false" outlineLevel="0" collapsed="false">
      <c r="A6" s="128"/>
      <c r="B6" s="126" t="s">
        <v>596</v>
      </c>
      <c r="C6" s="129" t="n">
        <f aca="false">MC!B12</f>
        <v>1348.5</v>
      </c>
      <c r="D6" s="263" t="n">
        <f aca="false">MC!$C12</f>
        <v>1977.8</v>
      </c>
      <c r="E6" s="263" t="n">
        <f aca="false">MC!$C12</f>
        <v>1977.8</v>
      </c>
      <c r="F6" s="131" t="n">
        <f aca="false">MC!$C12</f>
        <v>1977.8</v>
      </c>
      <c r="AMF6" s="116"/>
    </row>
    <row r="7" customFormat="false" ht="15" hidden="false" customHeight="false" outlineLevel="0" collapsed="false">
      <c r="A7" s="128"/>
      <c r="B7" s="126" t="s">
        <v>597</v>
      </c>
      <c r="C7" s="264" t="n">
        <f aca="false">MC!$E12</f>
        <v>45383</v>
      </c>
      <c r="D7" s="133" t="n">
        <f aca="false">MC!$E12</f>
        <v>45383</v>
      </c>
      <c r="E7" s="133" t="n">
        <f aca="false">MC!$E12</f>
        <v>45383</v>
      </c>
      <c r="F7" s="265" t="n">
        <f aca="false">MC!$E12</f>
        <v>45383</v>
      </c>
      <c r="AMF7" s="116"/>
    </row>
    <row r="8" customFormat="false" ht="15" hidden="false" customHeight="false" outlineLevel="0" collapsed="false">
      <c r="A8" s="128"/>
      <c r="B8" s="126" t="s">
        <v>598</v>
      </c>
      <c r="C8" s="264" t="str">
        <f aca="false">MC!$D12</f>
        <v>RS000799/2024</v>
      </c>
      <c r="D8" s="133" t="str">
        <f aca="false">MC!$D12</f>
        <v>RS000799/2024</v>
      </c>
      <c r="E8" s="133" t="str">
        <f aca="false">MC!$D12</f>
        <v>RS000799/2024</v>
      </c>
      <c r="F8" s="265" t="str">
        <f aca="false">MC!$D12</f>
        <v>RS000799/2024</v>
      </c>
      <c r="AMF8" s="116"/>
    </row>
    <row r="9" customFormat="false" ht="15" hidden="false" customHeight="false" outlineLevel="0" collapsed="false">
      <c r="A9" s="135"/>
      <c r="B9" s="136" t="s">
        <v>599</v>
      </c>
      <c r="C9" s="137" t="str">
        <f aca="false">MC!$F12</f>
        <v>5173-30</v>
      </c>
      <c r="D9" s="266" t="str">
        <f aca="false">MC!$F12</f>
        <v>5173-30</v>
      </c>
      <c r="E9" s="266" t="str">
        <f aca="false">MC!$F12</f>
        <v>5173-30</v>
      </c>
      <c r="F9" s="139" t="str">
        <f aca="false">MC!$F12</f>
        <v>5173-30</v>
      </c>
      <c r="AMF9" s="116"/>
    </row>
    <row r="10" customFormat="false" ht="15" hidden="false" customHeight="false" outlineLevel="0" collapsed="false">
      <c r="A10" s="128" t="s">
        <v>701</v>
      </c>
      <c r="B10" s="141"/>
      <c r="C10" s="141"/>
      <c r="D10" s="141"/>
      <c r="E10" s="141"/>
      <c r="F10" s="142"/>
      <c r="AMF10" s="116"/>
    </row>
    <row r="11" customFormat="false" ht="66.75" hidden="false" customHeight="true" outlineLevel="0" collapsed="false">
      <c r="A11" s="143" t="s">
        <v>601</v>
      </c>
      <c r="B11" s="144" t="s">
        <v>602</v>
      </c>
      <c r="C11" s="145" t="s">
        <v>603</v>
      </c>
      <c r="D11" s="145" t="s">
        <v>604</v>
      </c>
      <c r="E11" s="145" t="s">
        <v>605</v>
      </c>
      <c r="F11" s="146" t="s">
        <v>606</v>
      </c>
      <c r="AMF11" s="116"/>
    </row>
    <row r="12" customFormat="false" ht="15.75" hidden="false" customHeight="true" outlineLevel="0" collapsed="false">
      <c r="A12" s="147" t="s">
        <v>607</v>
      </c>
      <c r="B12" s="147"/>
      <c r="C12" s="147"/>
      <c r="D12" s="147"/>
      <c r="E12" s="147"/>
      <c r="F12" s="147"/>
      <c r="AMF12" s="116"/>
    </row>
    <row r="13" customFormat="false" ht="15.75" hidden="false" customHeight="true" outlineLevel="0" collapsed="false">
      <c r="A13" s="148" t="s">
        <v>608</v>
      </c>
      <c r="B13" s="149" t="s">
        <v>609</v>
      </c>
      <c r="C13" s="149" t="s">
        <v>610</v>
      </c>
      <c r="D13" s="149" t="s">
        <v>610</v>
      </c>
      <c r="E13" s="149" t="s">
        <v>610</v>
      </c>
      <c r="F13" s="150" t="s">
        <v>610</v>
      </c>
      <c r="AMF13" s="116"/>
    </row>
    <row r="14" customFormat="false" ht="15.75" hidden="false" customHeight="true" outlineLevel="0" collapsed="false">
      <c r="A14" s="152" t="s">
        <v>611</v>
      </c>
      <c r="B14" s="153"/>
      <c r="C14" s="154" t="n">
        <f aca="false">C6</f>
        <v>1348.5</v>
      </c>
      <c r="D14" s="154" t="n">
        <f aca="false">D6</f>
        <v>1977.8</v>
      </c>
      <c r="E14" s="154" t="n">
        <f aca="false">E6*2</f>
        <v>3955.6</v>
      </c>
      <c r="F14" s="155" t="n">
        <f aca="false">F6*2</f>
        <v>3955.6</v>
      </c>
      <c r="H14" s="156"/>
      <c r="AMF14" s="116"/>
    </row>
    <row r="15" customFormat="false" ht="15.75" hidden="false" customHeight="true" outlineLevel="0" collapsed="false">
      <c r="A15" s="152" t="s">
        <v>612</v>
      </c>
      <c r="B15" s="157" t="n">
        <v>0.3</v>
      </c>
      <c r="C15" s="154" t="n">
        <f aca="false">$B$15*C14</f>
        <v>404.55</v>
      </c>
      <c r="D15" s="154" t="n">
        <f aca="false">$B$15*D14</f>
        <v>593.34</v>
      </c>
      <c r="E15" s="154" t="n">
        <f aca="false">$B$15*E14</f>
        <v>1186.68</v>
      </c>
      <c r="F15" s="155" t="n">
        <f aca="false">$B$15*(F14)</f>
        <v>1186.68</v>
      </c>
      <c r="H15" s="156"/>
      <c r="AMF15" s="116"/>
    </row>
    <row r="16" customFormat="false" ht="15.75" hidden="false" customHeight="true" outlineLevel="0" collapsed="false">
      <c r="A16" s="152" t="s">
        <v>613</v>
      </c>
      <c r="B16" s="157" t="n">
        <v>0.2</v>
      </c>
      <c r="C16" s="154"/>
      <c r="D16" s="154"/>
      <c r="E16" s="154"/>
      <c r="F16" s="155" t="n">
        <f aca="false">(F14+F15)/220*(8*15)*0.2</f>
        <v>560.976</v>
      </c>
      <c r="AMF16" s="116"/>
    </row>
    <row r="17" customFormat="false" ht="15.75" hidden="false" customHeight="true" outlineLevel="0" collapsed="false">
      <c r="A17" s="152" t="s">
        <v>614</v>
      </c>
      <c r="B17" s="158"/>
      <c r="C17" s="154"/>
      <c r="D17" s="154"/>
      <c r="E17" s="154"/>
      <c r="F17" s="155" t="n">
        <f aca="false">(F14+F15)/220*1.5*4.334</f>
        <v>151.954374</v>
      </c>
      <c r="H17" s="156"/>
      <c r="AMF17" s="116"/>
    </row>
    <row r="18" customFormat="false" ht="15.75" hidden="false" customHeight="true" outlineLevel="0" collapsed="false">
      <c r="A18" s="152" t="s">
        <v>615</v>
      </c>
      <c r="B18" s="157" t="n">
        <v>0.5</v>
      </c>
      <c r="C18" s="154"/>
      <c r="D18" s="154"/>
      <c r="E18" s="154" t="n">
        <f aca="false">(E14/220)*1.5*(15*B18)</f>
        <v>202.275</v>
      </c>
      <c r="F18" s="155" t="n">
        <f aca="false">(F14/220)*1.5*(15*B18)</f>
        <v>202.275</v>
      </c>
      <c r="AMF18" s="116"/>
    </row>
    <row r="19" customFormat="false" ht="15.75" hidden="false" customHeight="true" outlineLevel="0" collapsed="false">
      <c r="A19" s="152" t="s">
        <v>616</v>
      </c>
      <c r="B19" s="157"/>
      <c r="C19" s="154" t="n">
        <f aca="false">C14/150/6*22</f>
        <v>32.9633333333333</v>
      </c>
      <c r="D19" s="154" t="n">
        <f aca="false">D14/220/6*22</f>
        <v>32.9633333333333</v>
      </c>
      <c r="E19" s="154" t="n">
        <f aca="false">E14/220/6*15</f>
        <v>44.95</v>
      </c>
      <c r="F19" s="155" t="n">
        <f aca="false">F14/220/6*15</f>
        <v>44.95</v>
      </c>
      <c r="AMF19" s="116"/>
    </row>
    <row r="20" customFormat="false" ht="15.75" hidden="false" customHeight="true" outlineLevel="0" collapsed="false">
      <c r="A20" s="152" t="s">
        <v>617</v>
      </c>
      <c r="B20" s="157"/>
      <c r="C20" s="154"/>
      <c r="D20" s="154"/>
      <c r="E20" s="154"/>
      <c r="F20" s="155" t="n">
        <f aca="false">(F16+F17)*0.2</f>
        <v>142.5860748</v>
      </c>
      <c r="AMF20" s="116"/>
    </row>
    <row r="21" customFormat="false" ht="15.75" hidden="false" customHeight="true" outlineLevel="0" collapsed="false">
      <c r="A21" s="159" t="s">
        <v>7</v>
      </c>
      <c r="B21" s="160"/>
      <c r="C21" s="161" t="n">
        <f aca="false">SUM(C14:C20)</f>
        <v>1786.01333333333</v>
      </c>
      <c r="D21" s="161" t="n">
        <f aca="false">SUM(D14:D20)</f>
        <v>2604.10333333333</v>
      </c>
      <c r="E21" s="161" t="n">
        <f aca="false">SUM(E14:E20)</f>
        <v>5389.505</v>
      </c>
      <c r="F21" s="162" t="n">
        <f aca="false">SUM(F14:F20)</f>
        <v>6245.0214488</v>
      </c>
      <c r="AMF21" s="116"/>
    </row>
    <row r="22" customFormat="false" ht="15.75" hidden="false" customHeight="true" outlineLevel="0" collapsed="false">
      <c r="A22" s="163"/>
      <c r="B22" s="163"/>
      <c r="C22" s="164"/>
      <c r="D22" s="164"/>
      <c r="E22" s="164"/>
      <c r="F22" s="165"/>
      <c r="J22" s="156"/>
      <c r="AMF22" s="116"/>
    </row>
    <row r="23" customFormat="false" ht="15.75" hidden="false" customHeight="true" outlineLevel="0" collapsed="false">
      <c r="A23" s="147" t="s">
        <v>618</v>
      </c>
      <c r="B23" s="147"/>
      <c r="C23" s="147"/>
      <c r="D23" s="147"/>
      <c r="E23" s="147"/>
      <c r="F23" s="147"/>
      <c r="AMF23" s="116"/>
    </row>
    <row r="24" customFormat="false" ht="15.75" hidden="false" customHeight="true" outlineLevel="0" collapsed="false">
      <c r="A24" s="166" t="s">
        <v>619</v>
      </c>
      <c r="B24" s="167" t="s">
        <v>609</v>
      </c>
      <c r="C24" s="167" t="s">
        <v>610</v>
      </c>
      <c r="D24" s="167" t="s">
        <v>610</v>
      </c>
      <c r="E24" s="167" t="s">
        <v>610</v>
      </c>
      <c r="F24" s="168" t="s">
        <v>610</v>
      </c>
      <c r="AMF24" s="116"/>
    </row>
    <row r="25" customFormat="false" ht="15.75" hidden="false" customHeight="true" outlineLevel="0" collapsed="false">
      <c r="A25" s="169" t="s">
        <v>620</v>
      </c>
      <c r="B25" s="157" t="n">
        <f aca="false">1/12</f>
        <v>0.0833333333333333</v>
      </c>
      <c r="C25" s="154" t="n">
        <f aca="false">ROUND($B25*C$21,2)</f>
        <v>148.83</v>
      </c>
      <c r="D25" s="154" t="n">
        <f aca="false">ROUND($B25*D$21,2)</f>
        <v>217.01</v>
      </c>
      <c r="E25" s="154" t="n">
        <f aca="false">ROUND($B25*(E$21-E18),2)</f>
        <v>432.27</v>
      </c>
      <c r="F25" s="155" t="n">
        <f aca="false">ROUND($B25*(F$21-F18),2)</f>
        <v>503.56</v>
      </c>
      <c r="AMF25" s="116"/>
    </row>
    <row r="26" customFormat="false" ht="15.75" hidden="false" customHeight="true" outlineLevel="0" collapsed="false">
      <c r="A26" s="169" t="s">
        <v>621</v>
      </c>
      <c r="B26" s="157" t="n">
        <f aca="false">1/3*1/12</f>
        <v>0.0277777777777778</v>
      </c>
      <c r="C26" s="154" t="n">
        <f aca="false">C$21*$B$26</f>
        <v>49.6114814814815</v>
      </c>
      <c r="D26" s="154" t="n">
        <f aca="false">D$21*$B$26</f>
        <v>72.3362037037037</v>
      </c>
      <c r="E26" s="154" t="n">
        <f aca="false">(E$21-E18)*$B$26</f>
        <v>144.089722222222</v>
      </c>
      <c r="F26" s="155" t="n">
        <f aca="false">(F$21-F18)*$B$26</f>
        <v>167.854068022222</v>
      </c>
      <c r="AMF26" s="116"/>
    </row>
    <row r="27" customFormat="false" ht="15.75" hidden="false" customHeight="true" outlineLevel="0" collapsed="false">
      <c r="A27" s="159" t="s">
        <v>7</v>
      </c>
      <c r="B27" s="170" t="n">
        <f aca="false">SUM(B25:B26)</f>
        <v>0.111111111111111</v>
      </c>
      <c r="C27" s="161" t="n">
        <f aca="false">SUM(C25:C26)</f>
        <v>198.441481481482</v>
      </c>
      <c r="D27" s="161" t="n">
        <f aca="false">SUM(D25:D26)</f>
        <v>289.346203703704</v>
      </c>
      <c r="E27" s="161" t="n">
        <f aca="false">SUM(E25:E26)</f>
        <v>576.359722222222</v>
      </c>
      <c r="F27" s="162" t="n">
        <f aca="false">SUM(F25:F26)</f>
        <v>671.414068022222</v>
      </c>
      <c r="AMF27" s="116"/>
    </row>
    <row r="28" customFormat="false" ht="15.75" hidden="false" customHeight="true" outlineLevel="0" collapsed="false">
      <c r="A28" s="166" t="s">
        <v>622</v>
      </c>
      <c r="B28" s="167" t="s">
        <v>609</v>
      </c>
      <c r="C28" s="167" t="s">
        <v>610</v>
      </c>
      <c r="D28" s="167" t="s">
        <v>610</v>
      </c>
      <c r="E28" s="167" t="s">
        <v>610</v>
      </c>
      <c r="F28" s="168" t="s">
        <v>610</v>
      </c>
      <c r="AMF28" s="116"/>
    </row>
    <row r="29" customFormat="false" ht="15.75" hidden="false" customHeight="true" outlineLevel="0" collapsed="false">
      <c r="A29" s="171" t="s">
        <v>623</v>
      </c>
      <c r="B29" s="172"/>
      <c r="C29" s="172"/>
      <c r="D29" s="172"/>
      <c r="E29" s="172"/>
      <c r="F29" s="173"/>
      <c r="AMF29" s="116"/>
    </row>
    <row r="30" customFormat="false" ht="15.75" hidden="false" customHeight="true" outlineLevel="0" collapsed="false">
      <c r="A30" s="169" t="s">
        <v>624</v>
      </c>
      <c r="B30" s="157" t="n">
        <v>0.2</v>
      </c>
      <c r="C30" s="174" t="n">
        <f aca="false">ROUND(($C$21+$C$27)*$B30,2)</f>
        <v>396.89</v>
      </c>
      <c r="D30" s="174" t="n">
        <f aca="false">ROUND(($D$21+$D$27)*$B30,2)</f>
        <v>578.69</v>
      </c>
      <c r="E30" s="174" t="n">
        <f aca="false">ROUND(($E$21+$E$27)*$B30,2)</f>
        <v>1193.17</v>
      </c>
      <c r="F30" s="175" t="n">
        <f aca="false">ROUND(($F$21+$F$27)*$B30,2)</f>
        <v>1383.29</v>
      </c>
      <c r="AMF30" s="116"/>
    </row>
    <row r="31" customFormat="false" ht="15.75" hidden="false" customHeight="true" outlineLevel="0" collapsed="false">
      <c r="A31" s="169" t="s">
        <v>625</v>
      </c>
      <c r="B31" s="157" t="n">
        <v>0.025</v>
      </c>
      <c r="C31" s="174" t="n">
        <f aca="false">ROUND(($C$21+$C$27)*$B31,2)</f>
        <v>49.61</v>
      </c>
      <c r="D31" s="174" t="n">
        <f aca="false">ROUND(($D$21+$D$27)*B31,2)</f>
        <v>72.34</v>
      </c>
      <c r="E31" s="174" t="n">
        <f aca="false">ROUND(($E$21+$E$27)*B31,2)</f>
        <v>149.15</v>
      </c>
      <c r="F31" s="175" t="n">
        <f aca="false">ROUND(($F$21+$F$27)*B31,2)</f>
        <v>172.91</v>
      </c>
      <c r="AMF31" s="116"/>
    </row>
    <row r="32" customFormat="false" ht="15.75" hidden="false" customHeight="true" outlineLevel="0" collapsed="false">
      <c r="A32" s="169" t="s">
        <v>626</v>
      </c>
      <c r="B32" s="157" t="n">
        <v>0.03</v>
      </c>
      <c r="C32" s="174" t="n">
        <f aca="false">ROUND(($C$21+$C$27)*$B32,2)</f>
        <v>59.53</v>
      </c>
      <c r="D32" s="174" t="n">
        <f aca="false">ROUND(($D$21+$D$27)*B32,2)</f>
        <v>86.8</v>
      </c>
      <c r="E32" s="174" t="n">
        <f aca="false">ROUND(($E$21+$E$27)*B32,2)</f>
        <v>178.98</v>
      </c>
      <c r="F32" s="175" t="n">
        <f aca="false">ROUND(($F$21+$F$27)*B32,2)</f>
        <v>207.49</v>
      </c>
      <c r="AMF32" s="116"/>
    </row>
    <row r="33" customFormat="false" ht="15.75" hidden="false" customHeight="true" outlineLevel="0" collapsed="false">
      <c r="A33" s="169" t="s">
        <v>627</v>
      </c>
      <c r="B33" s="157" t="n">
        <v>0.015</v>
      </c>
      <c r="C33" s="174" t="n">
        <f aca="false">ROUND(($C$21+$C$27)*$B33,2)</f>
        <v>29.77</v>
      </c>
      <c r="D33" s="174" t="n">
        <f aca="false">ROUND(($D$21+$D$27)*B33,2)</f>
        <v>43.4</v>
      </c>
      <c r="E33" s="174" t="n">
        <f aca="false">ROUND(($E$21+$E$27)*B33,2)</f>
        <v>89.49</v>
      </c>
      <c r="F33" s="175" t="n">
        <f aca="false">ROUND(($F$21+$F$27)*B33,2)</f>
        <v>103.75</v>
      </c>
      <c r="AMF33" s="116"/>
    </row>
    <row r="34" customFormat="false" ht="15.75" hidden="false" customHeight="true" outlineLevel="0" collapsed="false">
      <c r="A34" s="169" t="s">
        <v>628</v>
      </c>
      <c r="B34" s="157" t="n">
        <v>0.01</v>
      </c>
      <c r="C34" s="174" t="n">
        <f aca="false">ROUND(($C$21+$C$27)*$B34,2)</f>
        <v>19.84</v>
      </c>
      <c r="D34" s="174" t="n">
        <f aca="false">ROUND(($D$21+$D$27)*B34,2)</f>
        <v>28.93</v>
      </c>
      <c r="E34" s="174" t="n">
        <f aca="false">ROUND(($E$21+$E$27)*B34,2)</f>
        <v>59.66</v>
      </c>
      <c r="F34" s="175" t="n">
        <f aca="false">ROUND(($F$21+$F$27)*B34,2)</f>
        <v>69.16</v>
      </c>
      <c r="AMF34" s="116"/>
    </row>
    <row r="35" customFormat="false" ht="15.75" hidden="false" customHeight="true" outlineLevel="0" collapsed="false">
      <c r="A35" s="169" t="s">
        <v>629</v>
      </c>
      <c r="B35" s="157" t="n">
        <v>0.006</v>
      </c>
      <c r="C35" s="174" t="n">
        <f aca="false">ROUND(($C$21+$C$27)*$B35,2)</f>
        <v>11.91</v>
      </c>
      <c r="D35" s="174" t="n">
        <f aca="false">ROUND(($D$21+$D$27)*B35,2)</f>
        <v>17.36</v>
      </c>
      <c r="E35" s="174" t="n">
        <f aca="false">ROUND(($E$21+$E$27)*B35,2)</f>
        <v>35.8</v>
      </c>
      <c r="F35" s="175" t="n">
        <f aca="false">ROUND(($F$21+$F$27)*B35,2)</f>
        <v>41.5</v>
      </c>
      <c r="AMF35" s="116"/>
    </row>
    <row r="36" customFormat="false" ht="15.75" hidden="false" customHeight="true" outlineLevel="0" collapsed="false">
      <c r="A36" s="169" t="s">
        <v>630</v>
      </c>
      <c r="B36" s="157" t="n">
        <v>0.002</v>
      </c>
      <c r="C36" s="174" t="n">
        <f aca="false">ROUND(($C$21+$C$27)*$B36,2)</f>
        <v>3.97</v>
      </c>
      <c r="D36" s="174" t="n">
        <f aca="false">ROUND(($D$21+$D$27)*B36,2)</f>
        <v>5.79</v>
      </c>
      <c r="E36" s="174" t="n">
        <f aca="false">ROUND(($E$21+$E$27)*B36,2)</f>
        <v>11.93</v>
      </c>
      <c r="F36" s="175" t="n">
        <f aca="false">ROUND(($F$21+$F$27)*B36,2)</f>
        <v>13.83</v>
      </c>
      <c r="AMF36" s="116"/>
    </row>
    <row r="37" customFormat="false" ht="15.75" hidden="false" customHeight="true" outlineLevel="0" collapsed="false">
      <c r="A37" s="169" t="s">
        <v>631</v>
      </c>
      <c r="B37" s="157" t="n">
        <v>0.08</v>
      </c>
      <c r="C37" s="174" t="n">
        <f aca="false">ROUND(($C$21+$C$27)*$B37,2)</f>
        <v>158.76</v>
      </c>
      <c r="D37" s="174" t="n">
        <f aca="false">ROUND(($D$21+$D$27)*B37,2)</f>
        <v>231.48</v>
      </c>
      <c r="E37" s="174" t="n">
        <f aca="false">ROUND(($E$21+$E$27)*B37,2)</f>
        <v>477.27</v>
      </c>
      <c r="F37" s="175" t="n">
        <f aca="false">ROUND(($F$21+$F$27)*B37,2)</f>
        <v>553.31</v>
      </c>
      <c r="AMF37" s="116"/>
    </row>
    <row r="38" customFormat="false" ht="15.75" hidden="false" customHeight="true" outlineLevel="0" collapsed="false">
      <c r="A38" s="159" t="s">
        <v>7</v>
      </c>
      <c r="B38" s="170" t="n">
        <f aca="false">SUM(B30:B37)</f>
        <v>0.368</v>
      </c>
      <c r="C38" s="161" t="n">
        <f aca="false">SUM(C29:C37)</f>
        <v>730.28</v>
      </c>
      <c r="D38" s="161" t="n">
        <f aca="false">SUM(D29:D37)</f>
        <v>1064.79</v>
      </c>
      <c r="E38" s="161" t="n">
        <f aca="false">SUM(E30:E37)</f>
        <v>2195.45</v>
      </c>
      <c r="F38" s="162" t="n">
        <f aca="false">SUM(F30:F37)</f>
        <v>2545.24</v>
      </c>
      <c r="AMF38" s="116"/>
    </row>
    <row r="39" customFormat="false" ht="15.75" hidden="false" customHeight="true" outlineLevel="0" collapsed="false">
      <c r="A39" s="166" t="s">
        <v>632</v>
      </c>
      <c r="B39" s="167" t="s">
        <v>633</v>
      </c>
      <c r="C39" s="167" t="s">
        <v>610</v>
      </c>
      <c r="D39" s="167" t="s">
        <v>610</v>
      </c>
      <c r="E39" s="167" t="s">
        <v>610</v>
      </c>
      <c r="F39" s="168" t="s">
        <v>610</v>
      </c>
      <c r="AMF39" s="116"/>
    </row>
    <row r="40" customFormat="false" ht="15.75" hidden="false" customHeight="true" outlineLevel="0" collapsed="false">
      <c r="A40" s="169" t="s">
        <v>634</v>
      </c>
      <c r="B40" s="176" t="n">
        <f aca="false">VT!E4</f>
        <v>3.54108695652174</v>
      </c>
      <c r="C40" s="154" t="n">
        <f aca="false">ROUND(($B$40*2*22)-(0.06*C$14),2)</f>
        <v>74.9</v>
      </c>
      <c r="D40" s="154" t="n">
        <f aca="false">ROUND(($B$40*2*22)-(0.06*D$14),2)</f>
        <v>37.14</v>
      </c>
      <c r="E40" s="154" t="n">
        <f aca="false">ROUND(($B$40*2*30)-(0.06*E$14),2)</f>
        <v>-24.87</v>
      </c>
      <c r="F40" s="155" t="n">
        <f aca="false">ROUND(($B$40*2*30)-(0.06*F$14),2)</f>
        <v>-24.87</v>
      </c>
      <c r="H40" s="177"/>
      <c r="AMF40" s="116"/>
    </row>
    <row r="41" customFormat="false" ht="15.75" hidden="false" customHeight="true" outlineLevel="0" collapsed="false">
      <c r="A41" s="169" t="s">
        <v>635</v>
      </c>
      <c r="B41" s="178" t="n">
        <f aca="false">MC!B36</f>
        <v>31</v>
      </c>
      <c r="C41" s="174" t="n">
        <f aca="false">(ROUND(($B$41*(1-0.2)*22),2))</f>
        <v>545.6</v>
      </c>
      <c r="D41" s="174" t="n">
        <f aca="false">(ROUND(($B$41*(1-0.2)*22),2))</f>
        <v>545.6</v>
      </c>
      <c r="E41" s="174" t="n">
        <f aca="false">(ROUND(($B$41*(1-0.2)*30),2))</f>
        <v>744</v>
      </c>
      <c r="F41" s="175" t="n">
        <f aca="false">(ROUND(($B$41*(1-0.2)*30),2))</f>
        <v>744</v>
      </c>
      <c r="AMF41" s="116"/>
    </row>
    <row r="42" customFormat="false" ht="15.75" hidden="false" customHeight="true" outlineLevel="0" collapsed="false">
      <c r="A42" s="169" t="s">
        <v>636</v>
      </c>
      <c r="B42" s="157"/>
      <c r="C42" s="174"/>
      <c r="D42" s="174"/>
      <c r="E42" s="174"/>
      <c r="F42" s="175"/>
      <c r="AMF42" s="116"/>
    </row>
    <row r="43" customFormat="false" ht="15.75" hidden="false" customHeight="true" outlineLevel="0" collapsed="false">
      <c r="A43" s="179" t="s">
        <v>637</v>
      </c>
      <c r="B43" s="180" t="n">
        <f aca="false">MC!$B38</f>
        <v>23.72</v>
      </c>
      <c r="C43" s="174" t="n">
        <f aca="false">MC!$B38</f>
        <v>23.72</v>
      </c>
      <c r="D43" s="174" t="n">
        <f aca="false">MC!$B38</f>
        <v>23.72</v>
      </c>
      <c r="E43" s="174" t="n">
        <f aca="false">MC!$B38</f>
        <v>23.72</v>
      </c>
      <c r="F43" s="175" t="n">
        <f aca="false">MC!$B38</f>
        <v>23.72</v>
      </c>
      <c r="AMF43" s="116"/>
    </row>
    <row r="44" customFormat="false" ht="15.75" hidden="false" customHeight="true" outlineLevel="0" collapsed="false">
      <c r="A44" s="169" t="s">
        <v>638</v>
      </c>
      <c r="B44" s="157"/>
      <c r="C44" s="174"/>
      <c r="D44" s="174"/>
      <c r="E44" s="174"/>
      <c r="F44" s="175"/>
      <c r="AMF44" s="116"/>
    </row>
    <row r="45" customFormat="false" ht="15.75" hidden="false" customHeight="true" outlineLevel="0" collapsed="false">
      <c r="A45" s="169" t="s">
        <v>639</v>
      </c>
      <c r="B45" s="157"/>
      <c r="C45" s="174"/>
      <c r="D45" s="174"/>
      <c r="E45" s="174"/>
      <c r="F45" s="175"/>
      <c r="AMF45" s="116"/>
    </row>
    <row r="46" customFormat="false" ht="15.75" hidden="false" customHeight="true" outlineLevel="0" collapsed="false">
      <c r="A46" s="159" t="s">
        <v>7</v>
      </c>
      <c r="B46" s="160"/>
      <c r="C46" s="161" t="n">
        <f aca="false">SUM(C40:C45)</f>
        <v>644.22</v>
      </c>
      <c r="D46" s="161" t="n">
        <f aca="false">SUM(D40:D45)</f>
        <v>606.46</v>
      </c>
      <c r="E46" s="161" t="n">
        <f aca="false">SUM(E40:E45)</f>
        <v>742.85</v>
      </c>
      <c r="F46" s="162" t="n">
        <f aca="false">SUM(F40:F45)</f>
        <v>742.85</v>
      </c>
      <c r="AMF46" s="116"/>
    </row>
    <row r="47" customFormat="false" ht="15.75" hidden="false" customHeight="true" outlineLevel="0" collapsed="false">
      <c r="A47" s="148" t="s">
        <v>640</v>
      </c>
      <c r="B47" s="149" t="s">
        <v>609</v>
      </c>
      <c r="C47" s="149" t="s">
        <v>610</v>
      </c>
      <c r="D47" s="149" t="s">
        <v>610</v>
      </c>
      <c r="E47" s="149" t="s">
        <v>610</v>
      </c>
      <c r="F47" s="150" t="s">
        <v>610</v>
      </c>
      <c r="AMF47" s="116"/>
    </row>
    <row r="48" customFormat="false" ht="15.75" hidden="false" customHeight="true" outlineLevel="0" collapsed="false">
      <c r="A48" s="169" t="s">
        <v>619</v>
      </c>
      <c r="B48" s="182" t="n">
        <f aca="false">B27</f>
        <v>0.111111111111111</v>
      </c>
      <c r="C48" s="183" t="n">
        <f aca="false">C27</f>
        <v>198.441481481482</v>
      </c>
      <c r="D48" s="183" t="n">
        <f aca="false">D27</f>
        <v>289.346203703704</v>
      </c>
      <c r="E48" s="183" t="n">
        <f aca="false">E27</f>
        <v>576.359722222222</v>
      </c>
      <c r="F48" s="184" t="n">
        <f aca="false">F27</f>
        <v>671.414068022222</v>
      </c>
      <c r="AMF48" s="116"/>
    </row>
    <row r="49" customFormat="false" ht="15.75" hidden="false" customHeight="true" outlineLevel="0" collapsed="false">
      <c r="A49" s="169" t="s">
        <v>641</v>
      </c>
      <c r="B49" s="182" t="n">
        <f aca="false">B38</f>
        <v>0.368</v>
      </c>
      <c r="C49" s="183" t="n">
        <f aca="false">C38</f>
        <v>730.28</v>
      </c>
      <c r="D49" s="183" t="n">
        <f aca="false">D38</f>
        <v>1064.79</v>
      </c>
      <c r="E49" s="183" t="n">
        <f aca="false">E38</f>
        <v>2195.45</v>
      </c>
      <c r="F49" s="184" t="n">
        <f aca="false">F38</f>
        <v>2545.24</v>
      </c>
      <c r="AMF49" s="116"/>
    </row>
    <row r="50" customFormat="false" ht="15.75" hidden="false" customHeight="true" outlineLevel="0" collapsed="false">
      <c r="A50" s="169" t="s">
        <v>632</v>
      </c>
      <c r="B50" s="182"/>
      <c r="C50" s="183" t="n">
        <f aca="false">C46</f>
        <v>644.22</v>
      </c>
      <c r="D50" s="183" t="n">
        <f aca="false">D46</f>
        <v>606.46</v>
      </c>
      <c r="E50" s="183" t="n">
        <f aca="false">E46</f>
        <v>742.85</v>
      </c>
      <c r="F50" s="184" t="n">
        <f aca="false">F46</f>
        <v>742.85</v>
      </c>
      <c r="AMF50" s="116"/>
    </row>
    <row r="51" customFormat="false" ht="15.75" hidden="false" customHeight="true" outlineLevel="0" collapsed="false">
      <c r="A51" s="159" t="s">
        <v>7</v>
      </c>
      <c r="B51" s="160"/>
      <c r="C51" s="161" t="n">
        <f aca="false">SUM(C48:C50)</f>
        <v>1572.94148148148</v>
      </c>
      <c r="D51" s="161" t="n">
        <f aca="false">SUM(D48:D50)</f>
        <v>1960.5962037037</v>
      </c>
      <c r="E51" s="161" t="n">
        <f aca="false">SUM(E48:E50)</f>
        <v>3514.65972222222</v>
      </c>
      <c r="F51" s="162" t="n">
        <f aca="false">SUM(F48:F50)</f>
        <v>3959.50406802222</v>
      </c>
      <c r="AMF51" s="116"/>
    </row>
    <row r="52" customFormat="false" ht="15.75" hidden="false" customHeight="true" outlineLevel="0" collapsed="false">
      <c r="A52" s="163"/>
      <c r="B52" s="163"/>
      <c r="C52" s="164"/>
      <c r="D52" s="164"/>
      <c r="E52" s="164"/>
      <c r="F52" s="165"/>
      <c r="AMF52" s="116"/>
    </row>
    <row r="53" s="185" customFormat="true" ht="15.75" hidden="false" customHeight="true" outlineLevel="0" collapsed="false">
      <c r="A53" s="147" t="s">
        <v>642</v>
      </c>
      <c r="B53" s="147"/>
      <c r="C53" s="147"/>
      <c r="D53" s="147"/>
      <c r="E53" s="147"/>
      <c r="F53" s="147"/>
    </row>
    <row r="54" customFormat="false" ht="15.75" hidden="false" customHeight="true" outlineLevel="0" collapsed="false">
      <c r="A54" s="148" t="s">
        <v>643</v>
      </c>
      <c r="B54" s="149" t="s">
        <v>609</v>
      </c>
      <c r="C54" s="149" t="s">
        <v>610</v>
      </c>
      <c r="D54" s="149" t="s">
        <v>610</v>
      </c>
      <c r="E54" s="149" t="s">
        <v>610</v>
      </c>
      <c r="F54" s="150" t="s">
        <v>610</v>
      </c>
      <c r="AMF54" s="116"/>
    </row>
    <row r="55" customFormat="false" ht="15.75" hidden="false" customHeight="true" outlineLevel="0" collapsed="false">
      <c r="A55" s="169" t="s">
        <v>644</v>
      </c>
      <c r="B55" s="182" t="n">
        <f aca="false">1/12*0.05</f>
        <v>0.00416666666666667</v>
      </c>
      <c r="C55" s="186" t="n">
        <f aca="false">C$21*$B55</f>
        <v>7.44172222222222</v>
      </c>
      <c r="D55" s="186" t="n">
        <f aca="false">D$21*$B55</f>
        <v>10.8504305555556</v>
      </c>
      <c r="E55" s="186" t="n">
        <f aca="false">(E$21-E18)*$B55</f>
        <v>21.6134583333333</v>
      </c>
      <c r="F55" s="187" t="n">
        <f aca="false">(F$21-F18)*$B55</f>
        <v>25.1781102033333</v>
      </c>
      <c r="AMF55" s="116"/>
    </row>
    <row r="56" customFormat="false" ht="15.75" hidden="false" customHeight="true" outlineLevel="0" collapsed="false">
      <c r="A56" s="169" t="s">
        <v>645</v>
      </c>
      <c r="B56" s="182" t="n">
        <f aca="false">B37*B55</f>
        <v>0.000333333333333333</v>
      </c>
      <c r="C56" s="186" t="n">
        <f aca="false">C$21*$B56</f>
        <v>0.595337777777778</v>
      </c>
      <c r="D56" s="186" t="n">
        <f aca="false">D$21*$B56</f>
        <v>0.868034444444444</v>
      </c>
      <c r="E56" s="186" t="n">
        <f aca="false">(E$21-E18)*$B56</f>
        <v>1.72907666666667</v>
      </c>
      <c r="F56" s="187" t="n">
        <f aca="false">(F$21-F18)*$B56</f>
        <v>2.01424881626667</v>
      </c>
      <c r="AMF56" s="116"/>
    </row>
    <row r="57" customFormat="false" ht="15.75" hidden="false" customHeight="true" outlineLevel="0" collapsed="false">
      <c r="A57" s="169" t="s">
        <v>646</v>
      </c>
      <c r="B57" s="182" t="n">
        <v>0</v>
      </c>
      <c r="C57" s="186" t="n">
        <f aca="false">C$21*$B57</f>
        <v>0</v>
      </c>
      <c r="D57" s="186" t="n">
        <f aca="false">D$21*$B57</f>
        <v>0</v>
      </c>
      <c r="E57" s="186" t="n">
        <f aca="false">E$21*$B57</f>
        <v>0</v>
      </c>
      <c r="F57" s="187" t="n">
        <f aca="false">F$21*$B57</f>
        <v>0</v>
      </c>
      <c r="AMF57" s="116"/>
    </row>
    <row r="58" customFormat="false" ht="15.75" hidden="false" customHeight="true" outlineLevel="0" collapsed="false">
      <c r="A58" s="169" t="s">
        <v>647</v>
      </c>
      <c r="B58" s="182" t="n">
        <f aca="false">7/12*1/30</f>
        <v>0.0194444444444444</v>
      </c>
      <c r="C58" s="186" t="n">
        <f aca="false">C$21*$B58</f>
        <v>34.728037037037</v>
      </c>
      <c r="D58" s="186" t="n">
        <f aca="false">D$21*$B58</f>
        <v>50.6353425925926</v>
      </c>
      <c r="E58" s="186" t="n">
        <f aca="false">(E$21-E18)*$B58</f>
        <v>100.862805555556</v>
      </c>
      <c r="F58" s="187" t="n">
        <f aca="false">(F$21-F18)*$B58</f>
        <v>117.497847615556</v>
      </c>
      <c r="AMF58" s="116"/>
    </row>
    <row r="59" customFormat="false" ht="15.75" hidden="false" customHeight="true" outlineLevel="0" collapsed="false">
      <c r="A59" s="169" t="s">
        <v>648</v>
      </c>
      <c r="B59" s="182" t="n">
        <f aca="false">B38*B58</f>
        <v>0.00715555555555556</v>
      </c>
      <c r="C59" s="186" t="n">
        <f aca="false">C$21*$B59</f>
        <v>12.7799176296296</v>
      </c>
      <c r="D59" s="186" t="n">
        <f aca="false">D$21*$B59</f>
        <v>18.6338060740741</v>
      </c>
      <c r="E59" s="186" t="n">
        <f aca="false">(E$21-E18)*$B59</f>
        <v>37.1175124444444</v>
      </c>
      <c r="F59" s="187" t="n">
        <f aca="false">(F$21-F18)*$B59</f>
        <v>43.2392079225244</v>
      </c>
      <c r="AMF59" s="116"/>
    </row>
    <row r="60" customFormat="false" ht="15.75" hidden="false" customHeight="true" outlineLevel="0" collapsed="false">
      <c r="A60" s="169" t="s">
        <v>649</v>
      </c>
      <c r="B60" s="182" t="n">
        <f aca="false">B37*40/100*90/100*(1+1/12+1/12+1/3*1/12)</f>
        <v>0.0344</v>
      </c>
      <c r="C60" s="186" t="n">
        <f aca="false">C$21*$B60</f>
        <v>61.4388586666667</v>
      </c>
      <c r="D60" s="186" t="n">
        <f aca="false">D$21*$B60</f>
        <v>89.5811546666666</v>
      </c>
      <c r="E60" s="186" t="n">
        <f aca="false">(E$21-E18)*$B60</f>
        <v>178.440712</v>
      </c>
      <c r="F60" s="187" t="n">
        <f aca="false">(F$21-F18)*$B60</f>
        <v>207.87047783872</v>
      </c>
      <c r="AMF60" s="116"/>
    </row>
    <row r="61" customFormat="false" ht="15.75" hidden="false" customHeight="true" outlineLevel="0" collapsed="false">
      <c r="A61" s="159" t="s">
        <v>7</v>
      </c>
      <c r="B61" s="170" t="n">
        <f aca="false">SUM(B55:B60)</f>
        <v>0.0655</v>
      </c>
      <c r="C61" s="188" t="n">
        <f aca="false">SUM(C55:C60)</f>
        <v>116.983873333333</v>
      </c>
      <c r="D61" s="188" t="n">
        <f aca="false">SUM(D55:D60)</f>
        <v>170.568768333333</v>
      </c>
      <c r="E61" s="188" t="n">
        <f aca="false">SUM(E55:E60)</f>
        <v>339.763565</v>
      </c>
      <c r="F61" s="189" t="n">
        <f aca="false">SUM(F55:F60)</f>
        <v>395.7998923964</v>
      </c>
      <c r="AMF61" s="116"/>
    </row>
    <row r="62" customFormat="false" ht="15.75" hidden="false" customHeight="true" outlineLevel="0" collapsed="false">
      <c r="A62" s="163"/>
      <c r="B62" s="163"/>
      <c r="C62" s="190"/>
      <c r="D62" s="190"/>
      <c r="E62" s="190"/>
      <c r="F62" s="191"/>
      <c r="AMF62" s="116"/>
    </row>
    <row r="63" customFormat="false" ht="15.75" hidden="false" customHeight="true" outlineLevel="0" collapsed="false">
      <c r="A63" s="147" t="s">
        <v>650</v>
      </c>
      <c r="B63" s="147"/>
      <c r="C63" s="147"/>
      <c r="D63" s="147"/>
      <c r="E63" s="147"/>
      <c r="F63" s="147"/>
      <c r="AMF63" s="116"/>
    </row>
    <row r="64" customFormat="false" ht="15.75" hidden="false" customHeight="true" outlineLevel="0" collapsed="false">
      <c r="A64" s="166" t="s">
        <v>651</v>
      </c>
      <c r="B64" s="167" t="s">
        <v>633</v>
      </c>
      <c r="C64" s="167" t="s">
        <v>610</v>
      </c>
      <c r="D64" s="167" t="s">
        <v>610</v>
      </c>
      <c r="E64" s="167" t="s">
        <v>610</v>
      </c>
      <c r="F64" s="168" t="s">
        <v>610</v>
      </c>
      <c r="AMF64" s="116"/>
    </row>
    <row r="65" customFormat="false" ht="15.75" hidden="false" customHeight="true" outlineLevel="0" collapsed="false">
      <c r="A65" s="169" t="s">
        <v>652</v>
      </c>
      <c r="B65" s="157" t="n">
        <f aca="false">1/12</f>
        <v>0.0833333333333333</v>
      </c>
      <c r="C65" s="174" t="n">
        <f aca="false">$B65*(C$21+(C$51-C$40-C$41)+C$61)</f>
        <v>237.953224012346</v>
      </c>
      <c r="D65" s="174" t="n">
        <f aca="false">$B65*(D$21+(D$51-D$40-D$41)+D$61)</f>
        <v>346.044025447531</v>
      </c>
      <c r="E65" s="174" t="n">
        <f aca="false">$B65*(E$21+(E$51-E$40-E$41)+E$61)</f>
        <v>710.399857268518</v>
      </c>
      <c r="F65" s="175" t="n">
        <f aca="false">$B65*(F$21+(F$51-F$40-F$41)+F$61)</f>
        <v>823.432950768218</v>
      </c>
      <c r="AMF65" s="116"/>
    </row>
    <row r="66" customFormat="false" ht="15.75" hidden="false" customHeight="true" outlineLevel="0" collapsed="false">
      <c r="A66" s="169" t="s">
        <v>653</v>
      </c>
      <c r="B66" s="157" t="n">
        <f aca="false">(2.96/30/12)</f>
        <v>0.00822222222222222</v>
      </c>
      <c r="C66" s="174" t="n">
        <f aca="false">$B66*(C$21+(C$51-C$40-C$41)+C$61)</f>
        <v>23.4780514358848</v>
      </c>
      <c r="D66" s="174" t="n">
        <f aca="false">$B66*(D$21+(D$51-D$40-D$41)+D$61)</f>
        <v>34.143010510823</v>
      </c>
      <c r="E66" s="174" t="n">
        <f aca="false">$B66*(E$21+(E$51-E$40-E$41)+E$61)</f>
        <v>70.0927859171605</v>
      </c>
      <c r="F66" s="175" t="n">
        <f aca="false">$B66*(F$21+(F$51-F$40-F$41)+F$61)</f>
        <v>81.2453844757976</v>
      </c>
      <c r="AMF66" s="116"/>
    </row>
    <row r="67" customFormat="false" ht="15.75" hidden="false" customHeight="true" outlineLevel="0" collapsed="false">
      <c r="A67" s="169" t="s">
        <v>654</v>
      </c>
      <c r="B67" s="192" t="n">
        <f aca="false">(((20/30/12)*(0.89*0.01356)))</f>
        <v>0.000670466666666667</v>
      </c>
      <c r="C67" s="174" t="n">
        <f aca="false">$B67*(C$21+(C$51-C$40-C$41)+C$61)</f>
        <v>1.91447645911373</v>
      </c>
      <c r="D67" s="174" t="n">
        <f aca="false">$B67*(D$21+(D$51-D$40-D$41)+D$61)</f>
        <v>2.78413181114065</v>
      </c>
      <c r="E67" s="174" t="n">
        <f aca="false">$B67*(E$21+(E$51-E$40-E$41)+E$61)</f>
        <v>5.71559309163959</v>
      </c>
      <c r="F67" s="175" t="n">
        <f aca="false">$B67*(F$21+(F$51-F$40-F$41)+F$61)</f>
        <v>6.62501214870078</v>
      </c>
      <c r="AMF67" s="116"/>
    </row>
    <row r="68" customFormat="false" ht="15.75" hidden="false" customHeight="true" outlineLevel="0" collapsed="false">
      <c r="A68" s="169" t="s">
        <v>655</v>
      </c>
      <c r="B68" s="192" t="n">
        <f aca="false">((15/30/12)*(148775/46236176)*100)</f>
        <v>0.0134071605171962</v>
      </c>
      <c r="C68" s="174" t="n">
        <f aca="false">$B68*(C$21+(C$51-C$40-C$41)+C$61)</f>
        <v>38.2833248390143</v>
      </c>
      <c r="D68" s="174" t="n">
        <f aca="false">$B68*(D$21+(D$51-D$40-D$41)+D$61)</f>
        <v>55.6736135423012</v>
      </c>
      <c r="E68" s="174" t="n">
        <f aca="false">$B68*(E$21+(E$51-E$40-E$41)+E$61)</f>
        <v>114.293339013507</v>
      </c>
      <c r="F68" s="175" t="n">
        <f aca="false">$B68*(F$21+(F$51-F$40-F$41)+F$61)</f>
        <v>132.478772953176</v>
      </c>
      <c r="AMF68" s="116"/>
    </row>
    <row r="69" customFormat="false" ht="15.75" hidden="false" customHeight="true" outlineLevel="0" collapsed="false">
      <c r="A69" s="169" t="s">
        <v>656</v>
      </c>
      <c r="B69" s="157" t="n">
        <f aca="false">(((180/30/12)*(0.01356*0.11)*B38))</f>
        <v>0.0002744544</v>
      </c>
      <c r="C69" s="174" t="n">
        <f aca="false">$B69*(C$21+(C$51-C$40-C$41)+C$61)</f>
        <v>0.783687711892487</v>
      </c>
      <c r="D69" s="174" t="n">
        <f aca="false">$B69*(D$21+(D$51-D$40-D$41)+D$61)</f>
        <v>1.13967966453344</v>
      </c>
      <c r="E69" s="174" t="n">
        <f aca="false">$B69*(E$21+(E$51-E$40-E$41)+E$61)</f>
        <v>2.3396683990406</v>
      </c>
      <c r="F69" s="175" t="n">
        <f aca="false">$B69*(F$21+(F$51-F$40-F$41)+F$61)</f>
        <v>2.71193755731985</v>
      </c>
      <c r="AMF69" s="116"/>
    </row>
    <row r="70" customFormat="false" ht="15.75" hidden="false" customHeight="true" outlineLevel="0" collapsed="false">
      <c r="A70" s="169" t="s">
        <v>657</v>
      </c>
      <c r="B70" s="157"/>
      <c r="C70" s="174"/>
      <c r="D70" s="174"/>
      <c r="E70" s="174"/>
      <c r="F70" s="175"/>
      <c r="AMF70" s="116"/>
    </row>
    <row r="71" customFormat="false" ht="15.75" hidden="false" customHeight="true" outlineLevel="0" collapsed="false">
      <c r="A71" s="193" t="s">
        <v>658</v>
      </c>
      <c r="B71" s="194" t="n">
        <f aca="false">SUM(B65:B70)</f>
        <v>0.105907637139418</v>
      </c>
      <c r="C71" s="195" t="n">
        <f aca="false">SUM(C65:C70)</f>
        <v>302.412764458251</v>
      </c>
      <c r="D71" s="195" t="n">
        <f aca="false">SUM(D65:D70)</f>
        <v>439.784460976329</v>
      </c>
      <c r="E71" s="195" t="n">
        <f aca="false">SUM(E65:E70)</f>
        <v>902.841243689866</v>
      </c>
      <c r="F71" s="196" t="n">
        <f aca="false">SUM(F65:F70)</f>
        <v>1046.49405790321</v>
      </c>
      <c r="AMF71" s="116"/>
    </row>
    <row r="72" customFormat="false" ht="15.75" hidden="false" customHeight="true" outlineLevel="0" collapsed="false">
      <c r="A72" s="166" t="s">
        <v>659</v>
      </c>
      <c r="B72" s="167" t="s">
        <v>633</v>
      </c>
      <c r="C72" s="167" t="s">
        <v>610</v>
      </c>
      <c r="D72" s="167" t="s">
        <v>610</v>
      </c>
      <c r="E72" s="167" t="s">
        <v>610</v>
      </c>
      <c r="F72" s="168" t="s">
        <v>610</v>
      </c>
      <c r="AMF72" s="116"/>
    </row>
    <row r="73" customFormat="false" ht="15.75" hidden="false" customHeight="true" outlineLevel="0" collapsed="false">
      <c r="A73" s="169" t="s">
        <v>660</v>
      </c>
      <c r="B73" s="157" t="n">
        <v>0</v>
      </c>
      <c r="C73" s="174"/>
      <c r="D73" s="174"/>
      <c r="E73" s="174"/>
      <c r="F73" s="175"/>
      <c r="AMF73" s="116"/>
    </row>
    <row r="74" customFormat="false" ht="15.75" hidden="false" customHeight="true" outlineLevel="0" collapsed="false">
      <c r="A74" s="193" t="s">
        <v>7</v>
      </c>
      <c r="B74" s="194"/>
      <c r="C74" s="195"/>
      <c r="D74" s="195"/>
      <c r="E74" s="195" t="n">
        <f aca="false">E73</f>
        <v>0</v>
      </c>
      <c r="F74" s="196" t="n">
        <f aca="false">F73</f>
        <v>0</v>
      </c>
      <c r="AMF74" s="116"/>
    </row>
    <row r="75" customFormat="false" ht="15.75" hidden="false" customHeight="true" outlineLevel="0" collapsed="false">
      <c r="A75" s="148" t="s">
        <v>661</v>
      </c>
      <c r="B75" s="149" t="s">
        <v>633</v>
      </c>
      <c r="C75" s="149" t="s">
        <v>610</v>
      </c>
      <c r="D75" s="149" t="s">
        <v>610</v>
      </c>
      <c r="E75" s="149" t="s">
        <v>610</v>
      </c>
      <c r="F75" s="150" t="s">
        <v>610</v>
      </c>
      <c r="AMF75" s="116"/>
    </row>
    <row r="76" customFormat="false" ht="15.75" hidden="false" customHeight="true" outlineLevel="0" collapsed="false">
      <c r="A76" s="169" t="s">
        <v>651</v>
      </c>
      <c r="B76" s="182" t="n">
        <f aca="false">B71</f>
        <v>0.105907637139418</v>
      </c>
      <c r="C76" s="183" t="n">
        <f aca="false">C71</f>
        <v>302.412764458251</v>
      </c>
      <c r="D76" s="183" t="n">
        <f aca="false">D71</f>
        <v>439.784460976329</v>
      </c>
      <c r="E76" s="183" t="n">
        <f aca="false">E71</f>
        <v>902.841243689866</v>
      </c>
      <c r="F76" s="184" t="n">
        <f aca="false">F71</f>
        <v>1046.49405790321</v>
      </c>
      <c r="AMF76" s="116"/>
    </row>
    <row r="77" customFormat="false" ht="15.75" hidden="false" customHeight="true" outlineLevel="0" collapsed="false">
      <c r="A77" s="169" t="s">
        <v>659</v>
      </c>
      <c r="B77" s="182" t="n">
        <f aca="false">B73</f>
        <v>0</v>
      </c>
      <c r="C77" s="183" t="n">
        <f aca="false">C73</f>
        <v>0</v>
      </c>
      <c r="D77" s="183" t="n">
        <f aca="false">D73</f>
        <v>0</v>
      </c>
      <c r="E77" s="183" t="n">
        <f aca="false">E74</f>
        <v>0</v>
      </c>
      <c r="F77" s="184" t="n">
        <f aca="false">F73</f>
        <v>0</v>
      </c>
      <c r="G77" s="197"/>
      <c r="AMF77" s="116"/>
    </row>
    <row r="78" customFormat="false" ht="15.75" hidden="false" customHeight="true" outlineLevel="0" collapsed="false">
      <c r="A78" s="159" t="s">
        <v>7</v>
      </c>
      <c r="B78" s="160"/>
      <c r="C78" s="161" t="n">
        <f aca="false">SUM(C76:C77)</f>
        <v>302.412764458251</v>
      </c>
      <c r="D78" s="161" t="n">
        <f aca="false">SUM(D76:D77)</f>
        <v>439.784460976329</v>
      </c>
      <c r="E78" s="161" t="n">
        <f aca="false">SUM(E76:E77)</f>
        <v>902.841243689866</v>
      </c>
      <c r="F78" s="162" t="n">
        <f aca="false">SUM(F76:F77)</f>
        <v>1046.49405790321</v>
      </c>
      <c r="AMF78" s="116"/>
    </row>
    <row r="79" customFormat="false" ht="15.75" hidden="false" customHeight="true" outlineLevel="0" collapsed="false">
      <c r="A79" s="163"/>
      <c r="B79" s="164"/>
      <c r="C79" s="164"/>
      <c r="D79" s="164"/>
      <c r="E79" s="164"/>
      <c r="F79" s="165"/>
      <c r="AMF79" s="116"/>
    </row>
    <row r="80" customFormat="false" ht="15.75" hidden="false" customHeight="true" outlineLevel="0" collapsed="false">
      <c r="A80" s="147" t="s">
        <v>662</v>
      </c>
      <c r="B80" s="147"/>
      <c r="C80" s="147"/>
      <c r="D80" s="147"/>
      <c r="E80" s="147"/>
      <c r="F80" s="147"/>
      <c r="AMF80" s="116"/>
    </row>
    <row r="81" customFormat="false" ht="15.75" hidden="false" customHeight="true" outlineLevel="0" collapsed="false">
      <c r="A81" s="148" t="s">
        <v>663</v>
      </c>
      <c r="B81" s="149" t="s">
        <v>633</v>
      </c>
      <c r="C81" s="149" t="s">
        <v>610</v>
      </c>
      <c r="D81" s="149" t="s">
        <v>610</v>
      </c>
      <c r="E81" s="149" t="s">
        <v>610</v>
      </c>
      <c r="F81" s="150" t="s">
        <v>610</v>
      </c>
      <c r="AMF81" s="116"/>
    </row>
    <row r="82" customFormat="false" ht="15.75" hidden="false" customHeight="true" outlineLevel="0" collapsed="false">
      <c r="A82" s="169" t="s">
        <v>664</v>
      </c>
      <c r="B82" s="198" t="n">
        <f aca="false">Insumos!F12</f>
        <v>86.8083333333333</v>
      </c>
      <c r="C82" s="154" t="n">
        <f aca="false">Insumos!$F$12</f>
        <v>86.8083333333333</v>
      </c>
      <c r="D82" s="154" t="n">
        <f aca="false">Insumos!$F$12</f>
        <v>86.8083333333333</v>
      </c>
      <c r="E82" s="154" t="n">
        <f aca="false">Insumos!$F$12*2</f>
        <v>173.616666666667</v>
      </c>
      <c r="F82" s="155" t="n">
        <f aca="false">Insumos!$F$12*2</f>
        <v>173.616666666667</v>
      </c>
      <c r="AMF82" s="116"/>
    </row>
    <row r="83" customFormat="false" ht="15.75" hidden="false" customHeight="true" outlineLevel="0" collapsed="false">
      <c r="A83" s="199" t="s">
        <v>665</v>
      </c>
      <c r="B83" s="198"/>
      <c r="C83" s="154"/>
      <c r="D83" s="154"/>
      <c r="E83" s="154"/>
      <c r="F83" s="155"/>
      <c r="AMF83" s="116"/>
    </row>
    <row r="84" customFormat="false" ht="15.75" hidden="false" customHeight="true" outlineLevel="0" collapsed="false">
      <c r="A84" s="199" t="s">
        <v>666</v>
      </c>
      <c r="B84" s="200" t="n">
        <f aca="false">Insumos!F26</f>
        <v>13.7157173913044</v>
      </c>
      <c r="C84" s="154" t="n">
        <f aca="false">Insumos!$F$26</f>
        <v>13.7157173913044</v>
      </c>
      <c r="D84" s="154" t="n">
        <f aca="false">Insumos!$F$26</f>
        <v>13.7157173913044</v>
      </c>
      <c r="E84" s="154" t="n">
        <f aca="false">Insumos!$F$26</f>
        <v>13.7157173913044</v>
      </c>
      <c r="F84" s="155" t="n">
        <f aca="false">Insumos!$F$26</f>
        <v>13.7157173913044</v>
      </c>
      <c r="AMF84" s="116"/>
    </row>
    <row r="85" customFormat="false" ht="15.75" hidden="false" customHeight="true" outlineLevel="0" collapsed="false">
      <c r="A85" s="199" t="s">
        <v>667</v>
      </c>
      <c r="B85" s="198"/>
      <c r="C85" s="154"/>
      <c r="D85" s="154"/>
      <c r="E85" s="154"/>
      <c r="F85" s="155"/>
      <c r="AMF85" s="116"/>
    </row>
    <row r="86" customFormat="false" ht="15.75" hidden="false" customHeight="true" outlineLevel="0" collapsed="false">
      <c r="A86" s="199" t="s">
        <v>668</v>
      </c>
      <c r="B86" s="157"/>
      <c r="C86" s="154"/>
      <c r="D86" s="154"/>
      <c r="E86" s="154"/>
      <c r="F86" s="155"/>
      <c r="AMF86" s="116"/>
    </row>
    <row r="87" customFormat="false" ht="15.75" hidden="false" customHeight="true" outlineLevel="0" collapsed="false">
      <c r="A87" s="199" t="s">
        <v>669</v>
      </c>
      <c r="B87" s="198"/>
      <c r="C87" s="154"/>
      <c r="D87" s="154"/>
      <c r="E87" s="154"/>
      <c r="F87" s="155"/>
      <c r="AMF87" s="116"/>
    </row>
    <row r="88" customFormat="false" ht="15.75" hidden="false" customHeight="true" outlineLevel="0" collapsed="false">
      <c r="A88" s="199" t="s">
        <v>670</v>
      </c>
      <c r="B88" s="198"/>
      <c r="C88" s="154"/>
      <c r="D88" s="154"/>
      <c r="E88" s="154"/>
      <c r="F88" s="155"/>
      <c r="AMF88" s="116"/>
    </row>
    <row r="89" customFormat="false" ht="15.75" hidden="false" customHeight="true" outlineLevel="0" collapsed="false">
      <c r="A89" s="193" t="s">
        <v>7</v>
      </c>
      <c r="B89" s="201"/>
      <c r="C89" s="195" t="n">
        <f aca="false">SUM(C82:C88)</f>
        <v>100.524050724638</v>
      </c>
      <c r="D89" s="195" t="n">
        <f aca="false">SUM(D82:D88)</f>
        <v>100.524050724638</v>
      </c>
      <c r="E89" s="195" t="n">
        <f aca="false">SUM(E82:E88)</f>
        <v>187.332384057971</v>
      </c>
      <c r="F89" s="196" t="n">
        <f aca="false">SUM(F82:F88)</f>
        <v>187.332384057971</v>
      </c>
      <c r="AMF89" s="116"/>
    </row>
    <row r="90" customFormat="false" ht="15.75" hidden="false" customHeight="true" outlineLevel="0" collapsed="false">
      <c r="A90" s="202"/>
      <c r="B90" s="203"/>
      <c r="C90" s="164"/>
      <c r="D90" s="164"/>
      <c r="E90" s="164"/>
      <c r="F90" s="165"/>
      <c r="AMF90" s="116"/>
    </row>
    <row r="91" customFormat="false" ht="15.75" hidden="false" customHeight="true" outlineLevel="0" collapsed="false">
      <c r="A91" s="147" t="s">
        <v>671</v>
      </c>
      <c r="B91" s="147"/>
      <c r="C91" s="147"/>
      <c r="D91" s="147"/>
      <c r="E91" s="147"/>
      <c r="F91" s="147"/>
      <c r="AMF91" s="116"/>
    </row>
    <row r="92" customFormat="false" ht="15.75" hidden="false" customHeight="true" outlineLevel="0" collapsed="false">
      <c r="A92" s="148" t="s">
        <v>672</v>
      </c>
      <c r="B92" s="149" t="s">
        <v>609</v>
      </c>
      <c r="C92" s="149" t="s">
        <v>610</v>
      </c>
      <c r="D92" s="149" t="s">
        <v>610</v>
      </c>
      <c r="E92" s="149" t="s">
        <v>610</v>
      </c>
      <c r="F92" s="150" t="s">
        <v>610</v>
      </c>
      <c r="AMF92" s="116"/>
    </row>
    <row r="93" customFormat="false" ht="15.75" hidden="false" customHeight="true" outlineLevel="0" collapsed="false">
      <c r="A93" s="152" t="s">
        <v>673</v>
      </c>
      <c r="B93" s="157" t="n">
        <f aca="false">MC!B75</f>
        <v>0.03</v>
      </c>
      <c r="C93" s="174" t="n">
        <f aca="false">(C$21+C$51+C$61+C$78+C$89)*$B$93</f>
        <v>116.366265099931</v>
      </c>
      <c r="D93" s="174" t="n">
        <f aca="false">(D$21+D$51+D$61+D$78+D$89)*$B$93</f>
        <v>158.26730451214</v>
      </c>
      <c r="E93" s="174" t="n">
        <f aca="false">(E$21+E$51+E$61+E$78+E$89)*$B$93</f>
        <v>310.023057449102</v>
      </c>
      <c r="F93" s="175" t="n">
        <f aca="false">(F$21+F$51+F$61+F$78+F$89)*$B$93</f>
        <v>355.024555535394</v>
      </c>
      <c r="AMF93" s="116"/>
    </row>
    <row r="94" customFormat="false" ht="15.75" hidden="false" customHeight="true" outlineLevel="0" collapsed="false">
      <c r="A94" s="152" t="s">
        <v>674</v>
      </c>
      <c r="B94" s="157" t="n">
        <f aca="false">MC!B76</f>
        <v>0.0679</v>
      </c>
      <c r="C94" s="174" t="n">
        <f aca="false">(C$21+C$51+C$61+C$78+C$89+C$93)*$B$94</f>
        <v>271.276916076463</v>
      </c>
      <c r="D94" s="174" t="n">
        <f aca="false">(D$21+D$51+D$61+D$78+D$89+D$93)*$B$94</f>
        <v>368.958015855518</v>
      </c>
      <c r="E94" s="174" t="n">
        <f aca="false">(E$21+E$51+E$61+E$78+E$89+E$93)*$B$94</f>
        <v>722.736085627261</v>
      </c>
      <c r="F94" s="175" t="n">
        <f aca="false">(F$21+F$51+F$61+F$78+F$89+F$93)*$B$94</f>
        <v>827.645078015962</v>
      </c>
      <c r="AMF94" s="116"/>
    </row>
    <row r="95" customFormat="false" ht="15.75" hidden="false" customHeight="true" outlineLevel="0" collapsed="false">
      <c r="A95" s="204" t="s">
        <v>679</v>
      </c>
      <c r="B95" s="205" t="n">
        <f aca="false">B96+B97</f>
        <v>0.0665</v>
      </c>
      <c r="C95" s="206" t="n">
        <f aca="false">((C$21+C$51+C$61+C$78+C$89+C$93+C$94)/(1-($B$95)))*$B$95</f>
        <v>303.935182131488</v>
      </c>
      <c r="D95" s="206" t="n">
        <f aca="false">((D$21+D$51+D$61+D$78+D$89+D$93+D$94)/(1-($B$95)))*$B$95</f>
        <v>413.375835179104</v>
      </c>
      <c r="E95" s="206" t="n">
        <f aca="false">((E$21+E$51+E$61+E$78+E$89+E$93+E$94)/(1-($B$95)))*$B$95</f>
        <v>809.744253197736</v>
      </c>
      <c r="F95" s="207" t="n">
        <f aca="false">((F$21+F$51+F$61+F$78+F$89+F$93+F$94)/(1-($B$95)))*$B$95</f>
        <v>927.282944546997</v>
      </c>
      <c r="G95" s="156"/>
      <c r="AMF95" s="116"/>
    </row>
    <row r="96" customFormat="false" ht="15.75" hidden="false" customHeight="true" outlineLevel="0" collapsed="false">
      <c r="A96" s="152" t="s">
        <v>676</v>
      </c>
      <c r="B96" s="157" t="n">
        <f aca="false">0.0065+0.03</f>
        <v>0.0365</v>
      </c>
      <c r="C96" s="208" t="n">
        <f aca="false">((C$21+C$51+C$61+C$78+C$89+C$93+C$94)/(1-($B$95)))*$B$96</f>
        <v>166.82156613232</v>
      </c>
      <c r="D96" s="208" t="n">
        <f aca="false">((D$21+D$51+D$61+D$78+D$89+D$93+D$94)/(1-($B$95)))*$B$96</f>
        <v>226.890496000561</v>
      </c>
      <c r="E96" s="208" t="n">
        <f aca="false">((E$21+E$51+E$61+E$78+E$89+E$93+E$94)/(1-($B$95)))*$B$96</f>
        <v>444.446093860412</v>
      </c>
      <c r="F96" s="209" t="n">
        <f aca="false">((F$21+F$51+F$61+F$78+F$89+F$93+F$94)/(1-($B$95)))*$B$96</f>
        <v>508.959811668653</v>
      </c>
      <c r="AMF96" s="116"/>
    </row>
    <row r="97" customFormat="false" ht="15.75" hidden="false" customHeight="true" outlineLevel="0" collapsed="false">
      <c r="A97" s="152" t="s">
        <v>677</v>
      </c>
      <c r="B97" s="157" t="n">
        <v>0.03</v>
      </c>
      <c r="C97" s="208" t="n">
        <f aca="false">((C$21+C$51+C$61+C$78+C$89+C$93+C$94)/(1-($B$95)))*$B$97</f>
        <v>137.113615999168</v>
      </c>
      <c r="D97" s="208" t="n">
        <f aca="false">((D$21+D$51+D$61+D$78+D$89+D$93+D$94)/(1-($B$95)))*$B$97</f>
        <v>186.485339178543</v>
      </c>
      <c r="E97" s="208" t="n">
        <f aca="false">((E$21+E$51+E$61+E$78+E$89+E$93+E$94)/(1-($B$95)))*$B$97</f>
        <v>365.298159337325</v>
      </c>
      <c r="F97" s="209" t="n">
        <f aca="false">((F$21+F$51+F$61+F$78+F$89+F$93+F$94)/(1-($B$95)))*$B$97</f>
        <v>418.323132878345</v>
      </c>
      <c r="AMF97" s="116"/>
    </row>
    <row r="98" customFormat="false" ht="15.75" hidden="false" customHeight="true" outlineLevel="0" collapsed="false">
      <c r="A98" s="210" t="s">
        <v>683</v>
      </c>
      <c r="B98" s="211" t="n">
        <f aca="false">B97</f>
        <v>0.03</v>
      </c>
      <c r="C98" s="212" t="n">
        <f aca="false">C$93+C$94+C$95</f>
        <v>691.578363307882</v>
      </c>
      <c r="D98" s="212" t="n">
        <f aca="false">D$93+D$94+D$95</f>
        <v>940.601155546762</v>
      </c>
      <c r="E98" s="212" t="n">
        <f aca="false">E$93+E$94+E$95</f>
        <v>1842.5033962741</v>
      </c>
      <c r="F98" s="213" t="n">
        <f aca="false">F$93+F$94+F$95</f>
        <v>2109.95257809835</v>
      </c>
      <c r="AMF98" s="116"/>
    </row>
    <row r="99" customFormat="false" ht="15.75" hidden="false" customHeight="true" outlineLevel="0" collapsed="false">
      <c r="A99" s="152" t="s">
        <v>684</v>
      </c>
      <c r="B99" s="214"/>
      <c r="C99" s="215"/>
      <c r="D99" s="215"/>
      <c r="E99" s="215"/>
      <c r="F99" s="216"/>
      <c r="AMF99" s="116"/>
    </row>
    <row r="100" customFormat="false" ht="15.75" hidden="false" customHeight="true" outlineLevel="0" collapsed="false">
      <c r="A100" s="193"/>
      <c r="B100" s="194"/>
      <c r="C100" s="195"/>
      <c r="D100" s="195"/>
      <c r="E100" s="195"/>
      <c r="F100" s="196"/>
      <c r="AMF100" s="116"/>
    </row>
    <row r="101" customFormat="false" ht="15.75" hidden="false" customHeight="true" outlineLevel="0" collapsed="false">
      <c r="A101" s="217"/>
      <c r="B101" s="217"/>
      <c r="C101" s="217"/>
      <c r="D101" s="217"/>
      <c r="E101" s="217"/>
      <c r="F101" s="217"/>
      <c r="AMF101" s="116"/>
    </row>
    <row r="102" customFormat="false" ht="15.75" hidden="false" customHeight="true" outlineLevel="0" collapsed="false">
      <c r="A102" s="254"/>
      <c r="B102" s="254"/>
      <c r="C102" s="254"/>
      <c r="D102" s="254"/>
      <c r="E102" s="254"/>
      <c r="F102" s="254"/>
      <c r="AMF102" s="116"/>
    </row>
    <row r="103" customFormat="false" ht="66" hidden="false" customHeight="true" outlineLevel="0" collapsed="false">
      <c r="A103" s="255" t="s">
        <v>685</v>
      </c>
      <c r="B103" s="255"/>
      <c r="C103" s="256" t="str">
        <f aca="false">C11</f>
        <v>Posto 30 horas semanais de segunda sexta DIURNO (1 Vigilante)</v>
      </c>
      <c r="D103" s="256" t="str">
        <f aca="false">D11</f>
        <v>Posto 44 horas semanais de segunda sexta DIURNO (1 vigilante)</v>
      </c>
      <c r="E103" s="256" t="str">
        <f aca="false">E11</f>
        <v>Posto 12 x 36 DIURNO de segunda a domingo (2 vigilantes)</v>
      </c>
      <c r="F103" s="257" t="str">
        <f aca="false">F11</f>
        <v>Posto 12 x 36 NOTURNO de segunda a domingo (2 vigilantes)</v>
      </c>
      <c r="AMF103" s="116"/>
    </row>
    <row r="104" customFormat="false" ht="15.75" hidden="false" customHeight="true" outlineLevel="0" collapsed="false">
      <c r="A104" s="222" t="s">
        <v>686</v>
      </c>
      <c r="B104" s="223" t="s">
        <v>2</v>
      </c>
      <c r="C104" s="224" t="s">
        <v>610</v>
      </c>
      <c r="D104" s="224" t="s">
        <v>610</v>
      </c>
      <c r="E104" s="224" t="s">
        <v>610</v>
      </c>
      <c r="F104" s="225" t="s">
        <v>610</v>
      </c>
      <c r="AMF104" s="116"/>
    </row>
    <row r="105" customFormat="false" ht="14.25" hidden="false" customHeight="true" outlineLevel="0" collapsed="false">
      <c r="A105" s="226" t="s">
        <v>687</v>
      </c>
      <c r="B105" s="227"/>
      <c r="C105" s="228" t="n">
        <f aca="false">C21</f>
        <v>1786.01333333333</v>
      </c>
      <c r="D105" s="228" t="n">
        <f aca="false">D21</f>
        <v>2604.10333333333</v>
      </c>
      <c r="E105" s="228" t="n">
        <f aca="false">E21</f>
        <v>5389.505</v>
      </c>
      <c r="F105" s="229" t="n">
        <f aca="false">F21</f>
        <v>6245.0214488</v>
      </c>
      <c r="AMF105" s="116"/>
    </row>
    <row r="106" customFormat="false" ht="14.25" hidden="false" customHeight="true" outlineLevel="0" collapsed="false">
      <c r="A106" s="226" t="s">
        <v>688</v>
      </c>
      <c r="B106" s="227"/>
      <c r="C106" s="228" t="n">
        <f aca="false">C51</f>
        <v>1572.94148148148</v>
      </c>
      <c r="D106" s="228" t="n">
        <f aca="false">D51</f>
        <v>1960.5962037037</v>
      </c>
      <c r="E106" s="228" t="n">
        <f aca="false">E51</f>
        <v>3514.65972222222</v>
      </c>
      <c r="F106" s="229" t="n">
        <f aca="false">F51</f>
        <v>3959.50406802222</v>
      </c>
      <c r="AMF106" s="116"/>
    </row>
    <row r="107" customFormat="false" ht="14.25" hidden="false" customHeight="true" outlineLevel="0" collapsed="false">
      <c r="A107" s="226" t="s">
        <v>689</v>
      </c>
      <c r="B107" s="227"/>
      <c r="C107" s="228" t="n">
        <f aca="false">C61</f>
        <v>116.983873333333</v>
      </c>
      <c r="D107" s="228" t="n">
        <f aca="false">D61</f>
        <v>170.568768333333</v>
      </c>
      <c r="E107" s="228" t="n">
        <f aca="false">E61</f>
        <v>339.763565</v>
      </c>
      <c r="F107" s="229" t="n">
        <f aca="false">F61</f>
        <v>395.7998923964</v>
      </c>
      <c r="AMF107" s="116"/>
    </row>
    <row r="108" customFormat="false" ht="14.25" hidden="false" customHeight="true" outlineLevel="0" collapsed="false">
      <c r="A108" s="226" t="s">
        <v>690</v>
      </c>
      <c r="B108" s="227"/>
      <c r="C108" s="228" t="n">
        <f aca="false">C78</f>
        <v>302.412764458251</v>
      </c>
      <c r="D108" s="228" t="n">
        <f aca="false">D78</f>
        <v>439.784460976329</v>
      </c>
      <c r="E108" s="228" t="n">
        <f aca="false">E78</f>
        <v>902.841243689866</v>
      </c>
      <c r="F108" s="229" t="n">
        <f aca="false">F78</f>
        <v>1046.49405790321</v>
      </c>
      <c r="AMF108" s="116"/>
    </row>
    <row r="109" customFormat="false" ht="15.75" hidden="false" customHeight="true" outlineLevel="0" collapsed="false">
      <c r="A109" s="226" t="s">
        <v>691</v>
      </c>
      <c r="B109" s="227"/>
      <c r="C109" s="228" t="n">
        <f aca="false">C89</f>
        <v>100.524050724638</v>
      </c>
      <c r="D109" s="228" t="n">
        <f aca="false">D89</f>
        <v>100.524050724638</v>
      </c>
      <c r="E109" s="228" t="n">
        <f aca="false">E89</f>
        <v>187.332384057971</v>
      </c>
      <c r="F109" s="229" t="n">
        <f aca="false">F89</f>
        <v>187.332384057971</v>
      </c>
      <c r="AMF109" s="116"/>
    </row>
    <row r="110" customFormat="false" ht="15.75" hidden="false" customHeight="true" outlineLevel="0" collapsed="false">
      <c r="A110" s="226" t="s">
        <v>692</v>
      </c>
      <c r="B110" s="227"/>
      <c r="C110" s="230" t="n">
        <f aca="false">SUM(C105:C109)</f>
        <v>3878.87550333104</v>
      </c>
      <c r="D110" s="230" t="n">
        <f aca="false">SUM(D105:D109)</f>
        <v>5275.57681707134</v>
      </c>
      <c r="E110" s="230" t="n">
        <f aca="false">SUM(E105:E109)</f>
        <v>10334.1019149701</v>
      </c>
      <c r="F110" s="231" t="n">
        <f aca="false">SUM(F105:F109)</f>
        <v>11834.1518511798</v>
      </c>
      <c r="AMF110" s="116"/>
    </row>
    <row r="111" customFormat="false" ht="15.75" hidden="false" customHeight="true" outlineLevel="0" collapsed="false">
      <c r="A111" s="226" t="s">
        <v>693</v>
      </c>
      <c r="B111" s="232" t="n">
        <f aca="false">B98</f>
        <v>0.03</v>
      </c>
      <c r="C111" s="230" t="n">
        <f aca="false">C98</f>
        <v>691.578363307882</v>
      </c>
      <c r="D111" s="230" t="n">
        <f aca="false">D98</f>
        <v>940.601155546762</v>
      </c>
      <c r="E111" s="230" t="n">
        <f aca="false">E98</f>
        <v>1842.5033962741</v>
      </c>
      <c r="F111" s="231" t="n">
        <f aca="false">F98</f>
        <v>2109.95257809835</v>
      </c>
      <c r="AMF111" s="116"/>
    </row>
    <row r="112" customFormat="false" ht="15.75" hidden="false" customHeight="true" outlineLevel="0" collapsed="false">
      <c r="A112" s="237" t="s">
        <v>694</v>
      </c>
      <c r="B112" s="238" t="n">
        <f aca="false">B98</f>
        <v>0.03</v>
      </c>
      <c r="C112" s="239" t="n">
        <f aca="false">C$110+C111</f>
        <v>4570.45386663892</v>
      </c>
      <c r="D112" s="239" t="n">
        <f aca="false">D110+D111</f>
        <v>6216.1779726181</v>
      </c>
      <c r="E112" s="239" t="n">
        <f aca="false">E110+E111</f>
        <v>12176.6053112442</v>
      </c>
      <c r="F112" s="240" t="n">
        <f aca="false">F110+F111</f>
        <v>13944.1044292782</v>
      </c>
      <c r="AMF112" s="116"/>
    </row>
    <row r="113" customFormat="false" ht="14.25" hidden="false" customHeight="true" outlineLevel="0" collapsed="false">
      <c r="A113" s="241" t="s">
        <v>695</v>
      </c>
      <c r="B113" s="258" t="n">
        <f aca="false">B97</f>
        <v>0.03</v>
      </c>
      <c r="C113" s="259"/>
      <c r="D113" s="259" t="n">
        <f aca="false">D112/220</f>
        <v>28.2553544209914</v>
      </c>
      <c r="E113" s="259"/>
      <c r="F113" s="251" t="n">
        <f aca="false">(F112/2)/220</f>
        <v>31.6911464301776</v>
      </c>
      <c r="G113" s="260"/>
    </row>
    <row r="115" customFormat="false" ht="66" hidden="false" customHeight="true" outlineLevel="0" collapsed="false">
      <c r="A115" s="252" t="s">
        <v>696</v>
      </c>
      <c r="B115" s="252"/>
      <c r="C115" s="252"/>
      <c r="D115" s="252"/>
      <c r="E115" s="252"/>
      <c r="F115" s="252"/>
    </row>
  </sheetData>
  <mergeCells count="17">
    <mergeCell ref="A1:F1"/>
    <mergeCell ref="A2:F2"/>
    <mergeCell ref="A3:F3"/>
    <mergeCell ref="C5:F5"/>
    <mergeCell ref="A12:F12"/>
    <mergeCell ref="A22:B22"/>
    <mergeCell ref="A23:F23"/>
    <mergeCell ref="A52:B52"/>
    <mergeCell ref="A53:F53"/>
    <mergeCell ref="A62:B62"/>
    <mergeCell ref="A63:F63"/>
    <mergeCell ref="A80:F80"/>
    <mergeCell ref="A91:F91"/>
    <mergeCell ref="A101:F101"/>
    <mergeCell ref="A102:F102"/>
    <mergeCell ref="A103:B103"/>
    <mergeCell ref="A115:F1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43C0B"/>
    <pageSetUpPr fitToPage="false"/>
  </sheetPr>
  <dimension ref="A1:AMJ1048484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98" zoomScalePageLayoutView="100" workbookViewId="0">
      <selection pane="topLeft" activeCell="K25" activeCellId="0" sqref="K25"/>
    </sheetView>
  </sheetViews>
  <sheetFormatPr defaultColWidth="12.01171875" defaultRowHeight="15" zeroHeight="false" outlineLevelRow="0" outlineLevelCol="0"/>
  <cols>
    <col collapsed="false" customWidth="true" hidden="false" outlineLevel="0" max="1" min="1" style="267" width="37.14"/>
    <col collapsed="false" customWidth="true" hidden="false" outlineLevel="0" max="2" min="2" style="267" width="15.29"/>
    <col collapsed="false" customWidth="true" hidden="false" outlineLevel="0" max="3" min="3" style="267" width="14.15"/>
    <col collapsed="false" customWidth="true" hidden="false" outlineLevel="0" max="4" min="4" style="268" width="14.7"/>
    <col collapsed="false" customWidth="true" hidden="false" outlineLevel="0" max="5" min="5" style="268" width="13.14"/>
    <col collapsed="false" customWidth="true" hidden="false" outlineLevel="0" max="6" min="6" style="268" width="11.14"/>
    <col collapsed="false" customWidth="true" hidden="false" outlineLevel="0" max="7" min="7" style="268" width="13.14"/>
    <col collapsed="false" customWidth="true" hidden="false" outlineLevel="0" max="8" min="8" style="268" width="11.14"/>
    <col collapsed="false" customWidth="true" hidden="false" outlineLevel="0" max="9" min="9" style="268" width="12.29"/>
    <col collapsed="false" customWidth="true" hidden="false" outlineLevel="0" max="10" min="10" style="268" width="10.14"/>
    <col collapsed="false" customWidth="true" hidden="false" outlineLevel="0" max="11" min="11" style="268" width="15"/>
    <col collapsed="false" customWidth="true" hidden="false" outlineLevel="0" max="12" min="12" style="268" width="13.29"/>
    <col collapsed="false" customWidth="true" hidden="false" outlineLevel="0" max="13" min="13" style="268" width="12.29"/>
    <col collapsed="false" customWidth="true" hidden="false" outlineLevel="0" max="14" min="14" style="267" width="10.14"/>
    <col collapsed="false" customWidth="true" hidden="false" outlineLevel="0" max="15" min="15" style="267" width="11.86"/>
    <col collapsed="false" customWidth="true" hidden="false" outlineLevel="0" max="16" min="16" style="267" width="7.57"/>
    <col collapsed="false" customWidth="true" hidden="false" outlineLevel="0" max="17" min="17" style="267" width="7.15"/>
    <col collapsed="false" customWidth="true" hidden="false" outlineLevel="0" max="19" min="18" style="267" width="12.71"/>
    <col collapsed="false" customWidth="true" hidden="false" outlineLevel="0" max="20" min="20" style="267" width="14.28"/>
    <col collapsed="false" customWidth="true" hidden="false" outlineLevel="0" max="21" min="21" style="267" width="4.29"/>
    <col collapsed="false" customWidth="true" hidden="false" outlineLevel="0" max="22" min="22" style="267" width="9.29"/>
    <col collapsed="false" customWidth="true" hidden="false" outlineLevel="0" max="23" min="23" style="267" width="9.14"/>
    <col collapsed="false" customWidth="false" hidden="false" outlineLevel="0" max="1024" min="24" style="267" width="11.99"/>
  </cols>
  <sheetData>
    <row r="1" customFormat="false" ht="23.25" hidden="false" customHeight="false" outlineLevel="0" collapsed="false">
      <c r="A1" s="269" t="s">
        <v>702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</row>
    <row r="2" customFormat="false" ht="15" hidden="false" customHeight="false" outlineLevel="0" collapsed="false">
      <c r="A2" s="270"/>
      <c r="B2" s="271"/>
      <c r="C2" s="271"/>
      <c r="D2" s="271"/>
      <c r="K2" s="272"/>
    </row>
    <row r="3" customFormat="false" ht="15" hidden="false" customHeight="false" outlineLevel="0" collapsed="false">
      <c r="A3" s="273" t="s">
        <v>703</v>
      </c>
      <c r="B3" s="274" t="s">
        <v>704</v>
      </c>
      <c r="C3" s="274"/>
      <c r="D3" s="275" t="n">
        <v>22</v>
      </c>
      <c r="K3" s="272"/>
    </row>
    <row r="4" customFormat="false" ht="15" hidden="false" customHeight="false" outlineLevel="0" collapsed="false">
      <c r="A4" s="276"/>
      <c r="B4" s="275" t="s">
        <v>705</v>
      </c>
      <c r="C4" s="275"/>
      <c r="D4" s="277" t="n">
        <v>30</v>
      </c>
      <c r="K4" s="272"/>
    </row>
    <row r="5" customFormat="false" ht="15" hidden="false" customHeight="false" outlineLevel="0" collapsed="false">
      <c r="A5" s="276"/>
      <c r="K5" s="272"/>
    </row>
    <row r="6" customFormat="false" ht="16.5" hidden="false" customHeight="true" outlineLevel="0" collapsed="false">
      <c r="A6" s="278" t="s">
        <v>706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</row>
    <row r="7" customFormat="false" ht="14.25" hidden="false" customHeight="true" outlineLevel="0" collapsed="false">
      <c r="A7" s="279" t="s">
        <v>707</v>
      </c>
      <c r="B7" s="280" t="s">
        <v>708</v>
      </c>
      <c r="C7" s="280"/>
      <c r="D7" s="281" t="s">
        <v>10</v>
      </c>
      <c r="E7" s="281" t="s">
        <v>709</v>
      </c>
      <c r="F7" s="281" t="s">
        <v>710</v>
      </c>
      <c r="J7" s="267"/>
      <c r="K7" s="282"/>
      <c r="L7" s="267"/>
      <c r="M7" s="267"/>
      <c r="AMG7" s="116"/>
      <c r="AMH7" s="116"/>
      <c r="AMI7" s="116"/>
      <c r="AMJ7" s="116"/>
    </row>
    <row r="8" customFormat="false" ht="15" hidden="false" customHeight="false" outlineLevel="0" collapsed="false">
      <c r="A8" s="279" t="s">
        <v>711</v>
      </c>
      <c r="B8" s="280" t="s">
        <v>11</v>
      </c>
      <c r="C8" s="280" t="s">
        <v>712</v>
      </c>
      <c r="D8" s="281"/>
      <c r="E8" s="281"/>
      <c r="F8" s="281"/>
      <c r="K8" s="282"/>
      <c r="L8" s="267"/>
      <c r="M8" s="267"/>
      <c r="AMH8" s="116"/>
      <c r="AMI8" s="116"/>
      <c r="AMJ8" s="116"/>
    </row>
    <row r="9" customFormat="false" ht="15" hidden="false" customHeight="false" outlineLevel="0" collapsed="false">
      <c r="A9" s="273" t="s">
        <v>713</v>
      </c>
      <c r="B9" s="283" t="n">
        <f aca="false">C9/44*30</f>
        <v>1348.5</v>
      </c>
      <c r="C9" s="283" t="n">
        <v>1977.8</v>
      </c>
      <c r="D9" s="283" t="s">
        <v>714</v>
      </c>
      <c r="E9" s="284" t="n">
        <v>45323</v>
      </c>
      <c r="F9" s="284" t="s">
        <v>715</v>
      </c>
      <c r="G9" s="30" t="str">
        <f aca="false">'Quadro Resumo'!D4</f>
        <v>RS2-a</v>
      </c>
      <c r="K9" s="282"/>
      <c r="L9" s="267"/>
      <c r="M9" s="267"/>
      <c r="AMH9" s="116"/>
      <c r="AMI9" s="116"/>
      <c r="AMJ9" s="116"/>
    </row>
    <row r="10" customFormat="false" ht="15" hidden="false" customHeight="false" outlineLevel="0" collapsed="false">
      <c r="A10" s="273" t="s">
        <v>716</v>
      </c>
      <c r="B10" s="283" t="n">
        <f aca="false">C10/44*30</f>
        <v>1348.5</v>
      </c>
      <c r="C10" s="283" t="n">
        <v>1977.8</v>
      </c>
      <c r="D10" s="283" t="s">
        <v>717</v>
      </c>
      <c r="E10" s="284" t="n">
        <v>45323</v>
      </c>
      <c r="F10" s="284" t="s">
        <v>715</v>
      </c>
      <c r="G10" s="40" t="str">
        <f aca="false">'Quadro Resumo'!D28</f>
        <v>RS2-b</v>
      </c>
      <c r="K10" s="282"/>
      <c r="L10" s="267"/>
      <c r="M10" s="267"/>
      <c r="AMH10" s="116"/>
      <c r="AMI10" s="116"/>
      <c r="AMJ10" s="116"/>
    </row>
    <row r="11" customFormat="false" ht="15" hidden="false" customHeight="false" outlineLevel="0" collapsed="false">
      <c r="A11" s="273" t="s">
        <v>718</v>
      </c>
      <c r="B11" s="283" t="n">
        <f aca="false">C11/44*30</f>
        <v>1348.5</v>
      </c>
      <c r="C11" s="283" t="n">
        <v>1977.8</v>
      </c>
      <c r="D11" s="283" t="s">
        <v>719</v>
      </c>
      <c r="E11" s="284" t="n">
        <v>45323</v>
      </c>
      <c r="F11" s="284" t="s">
        <v>715</v>
      </c>
      <c r="G11" s="42" t="str">
        <f aca="false">'Quadro Resumo'!D41</f>
        <v>RS2-c</v>
      </c>
      <c r="K11" s="272"/>
    </row>
    <row r="12" customFormat="false" ht="15" hidden="false" customHeight="false" outlineLevel="0" collapsed="false">
      <c r="A12" s="273" t="s">
        <v>720</v>
      </c>
      <c r="B12" s="283" t="n">
        <f aca="false">C12/44*30</f>
        <v>1348.5</v>
      </c>
      <c r="C12" s="283" t="n">
        <v>1977.8</v>
      </c>
      <c r="D12" s="283" t="s">
        <v>721</v>
      </c>
      <c r="E12" s="284" t="n">
        <v>45383</v>
      </c>
      <c r="F12" s="284" t="s">
        <v>715</v>
      </c>
      <c r="G12" s="32" t="str">
        <f aca="false">'Quadro Resumo'!D7</f>
        <v>RS2-d</v>
      </c>
      <c r="K12" s="272"/>
    </row>
    <row r="13" customFormat="false" ht="15" hidden="false" customHeight="false" outlineLevel="0" collapsed="false">
      <c r="A13" s="279" t="s">
        <v>612</v>
      </c>
      <c r="B13" s="285" t="s">
        <v>722</v>
      </c>
      <c r="C13" s="285"/>
      <c r="D13" s="285"/>
      <c r="E13" s="285"/>
      <c r="F13" s="285"/>
      <c r="G13" s="286"/>
      <c r="K13" s="272"/>
    </row>
    <row r="14" customFormat="false" ht="15" hidden="false" customHeight="true" outlineLevel="0" collapsed="false">
      <c r="A14" s="287" t="s">
        <v>723</v>
      </c>
      <c r="B14" s="288" t="s">
        <v>724</v>
      </c>
      <c r="C14" s="288"/>
      <c r="D14" s="288"/>
      <c r="E14" s="288"/>
      <c r="F14" s="288"/>
      <c r="K14" s="272"/>
    </row>
    <row r="15" customFormat="false" ht="15" hidden="false" customHeight="false" outlineLevel="0" collapsed="false">
      <c r="A15" s="287"/>
      <c r="B15" s="288"/>
      <c r="C15" s="288"/>
      <c r="D15" s="288"/>
      <c r="E15" s="288"/>
      <c r="F15" s="288"/>
      <c r="K15" s="272"/>
    </row>
    <row r="16" customFormat="false" ht="15" hidden="false" customHeight="false" outlineLevel="0" collapsed="false">
      <c r="A16" s="287"/>
      <c r="B16" s="288"/>
      <c r="C16" s="288"/>
      <c r="D16" s="288"/>
      <c r="E16" s="288"/>
      <c r="F16" s="288"/>
      <c r="K16" s="272"/>
    </row>
    <row r="17" customFormat="false" ht="15" hidden="false" customHeight="true" outlineLevel="0" collapsed="false">
      <c r="A17" s="287" t="s">
        <v>725</v>
      </c>
      <c r="B17" s="289" t="s">
        <v>726</v>
      </c>
      <c r="C17" s="289"/>
      <c r="D17" s="289"/>
      <c r="E17" s="289"/>
      <c r="F17" s="289"/>
      <c r="K17" s="272"/>
    </row>
    <row r="18" customFormat="false" ht="15" hidden="false" customHeight="false" outlineLevel="0" collapsed="false">
      <c r="A18" s="287"/>
      <c r="B18" s="289"/>
      <c r="C18" s="289"/>
      <c r="D18" s="289"/>
      <c r="E18" s="289"/>
      <c r="F18" s="289"/>
      <c r="K18" s="272"/>
    </row>
    <row r="19" customFormat="false" ht="24" hidden="false" customHeight="true" outlineLevel="0" collapsed="false">
      <c r="A19" s="287"/>
      <c r="B19" s="289"/>
      <c r="C19" s="289"/>
      <c r="D19" s="289"/>
      <c r="E19" s="289"/>
      <c r="F19" s="289"/>
      <c r="K19" s="272"/>
    </row>
    <row r="20" customFormat="false" ht="15" hidden="false" customHeight="true" outlineLevel="0" collapsed="false">
      <c r="A20" s="287" t="s">
        <v>615</v>
      </c>
      <c r="B20" s="290" t="s">
        <v>727</v>
      </c>
      <c r="C20" s="290"/>
      <c r="D20" s="290"/>
      <c r="E20" s="290"/>
      <c r="F20" s="290"/>
      <c r="K20" s="272"/>
    </row>
    <row r="21" customFormat="false" ht="15" hidden="false" customHeight="false" outlineLevel="0" collapsed="false">
      <c r="A21" s="287"/>
      <c r="B21" s="290"/>
      <c r="C21" s="290"/>
      <c r="D21" s="290"/>
      <c r="E21" s="290"/>
      <c r="F21" s="290"/>
      <c r="K21" s="272"/>
    </row>
    <row r="22" customFormat="false" ht="24" hidden="false" customHeight="true" outlineLevel="0" collapsed="false">
      <c r="A22" s="279" t="s">
        <v>728</v>
      </c>
      <c r="B22" s="291" t="s">
        <v>729</v>
      </c>
      <c r="C22" s="291"/>
      <c r="D22" s="291"/>
      <c r="E22" s="291"/>
      <c r="F22" s="291"/>
      <c r="K22" s="272"/>
    </row>
    <row r="23" customFormat="false" ht="15" hidden="false" customHeight="false" outlineLevel="0" collapsed="false">
      <c r="A23" s="279" t="s">
        <v>730</v>
      </c>
      <c r="B23" s="285" t="s">
        <v>731</v>
      </c>
      <c r="C23" s="285"/>
      <c r="D23" s="285"/>
      <c r="E23" s="285"/>
      <c r="F23" s="285"/>
      <c r="K23" s="272"/>
    </row>
    <row r="24" customFormat="false" ht="15" hidden="false" customHeight="false" outlineLevel="0" collapsed="false">
      <c r="A24" s="292"/>
      <c r="B24" s="268"/>
      <c r="C24" s="268"/>
      <c r="K24" s="272"/>
    </row>
    <row r="25" customFormat="false" ht="15" hidden="false" customHeight="false" outlineLevel="0" collapsed="false">
      <c r="A25" s="292"/>
      <c r="B25" s="268"/>
      <c r="C25" s="268"/>
      <c r="K25" s="272"/>
    </row>
    <row r="26" customFormat="false" ht="15" hidden="false" customHeight="false" outlineLevel="0" collapsed="false">
      <c r="A26" s="293" t="s">
        <v>732</v>
      </c>
      <c r="B26" s="294" t="n">
        <v>226.89</v>
      </c>
      <c r="C26" s="295"/>
      <c r="D26" s="295"/>
      <c r="K26" s="272"/>
    </row>
    <row r="27" customFormat="false" ht="15" hidden="false" customHeight="false" outlineLevel="0" collapsed="false">
      <c r="A27" s="296" t="s">
        <v>733</v>
      </c>
      <c r="B27" s="268"/>
      <c r="C27" s="295"/>
      <c r="D27" s="295"/>
      <c r="K27" s="272"/>
    </row>
    <row r="28" customFormat="false" ht="15" hidden="false" customHeight="false" outlineLevel="0" collapsed="false">
      <c r="A28" s="296"/>
      <c r="B28" s="268"/>
      <c r="C28" s="295"/>
      <c r="D28" s="295"/>
      <c r="K28" s="272"/>
    </row>
    <row r="29" customFormat="false" ht="15.75" hidden="false" customHeight="false" outlineLevel="0" collapsed="false">
      <c r="A29" s="297" t="s">
        <v>734</v>
      </c>
      <c r="B29" s="297"/>
      <c r="C29" s="297"/>
      <c r="D29" s="297"/>
      <c r="E29" s="297"/>
      <c r="F29" s="297"/>
      <c r="G29" s="297"/>
      <c r="H29" s="297"/>
      <c r="I29" s="297"/>
      <c r="J29" s="297"/>
      <c r="K29" s="297"/>
    </row>
    <row r="30" customFormat="false" ht="12" hidden="false" customHeight="true" outlineLevel="0" collapsed="false">
      <c r="A30" s="298" t="s">
        <v>735</v>
      </c>
      <c r="B30" s="268"/>
      <c r="C30" s="268"/>
      <c r="G30" s="267"/>
      <c r="K30" s="272"/>
      <c r="M30" s="267"/>
      <c r="AMJ30" s="268"/>
    </row>
    <row r="31" customFormat="false" ht="12" hidden="false" customHeight="true" outlineLevel="0" collapsed="false">
      <c r="A31" s="299" t="s">
        <v>736</v>
      </c>
      <c r="B31" s="299"/>
      <c r="C31" s="299"/>
      <c r="G31" s="267"/>
      <c r="K31" s="272"/>
      <c r="M31" s="267"/>
      <c r="AMJ31" s="268"/>
    </row>
    <row r="32" customFormat="false" ht="15" hidden="false" customHeight="false" outlineLevel="0" collapsed="false">
      <c r="A32" s="300" t="s">
        <v>711</v>
      </c>
      <c r="B32" s="301" t="s">
        <v>708</v>
      </c>
      <c r="C32" s="301" t="s">
        <v>737</v>
      </c>
      <c r="F32" s="267"/>
      <c r="G32" s="267"/>
      <c r="K32" s="272"/>
      <c r="M32" s="267"/>
      <c r="AMJ32" s="268"/>
    </row>
    <row r="33" customFormat="false" ht="16.5" hidden="false" customHeight="true" outlineLevel="0" collapsed="false">
      <c r="A33" s="273" t="str">
        <f aca="false">A9</f>
        <v>Porto Alegre e região metropolitana</v>
      </c>
      <c r="B33" s="283" t="n">
        <v>27</v>
      </c>
      <c r="C33" s="302" t="n">
        <v>0.2</v>
      </c>
      <c r="F33" s="267"/>
      <c r="G33" s="267"/>
      <c r="I33" s="303"/>
      <c r="K33" s="272"/>
      <c r="M33" s="267"/>
      <c r="AMJ33" s="268"/>
    </row>
    <row r="34" customFormat="false" ht="15" hidden="false" customHeight="false" outlineLevel="0" collapsed="false">
      <c r="A34" s="273" t="str">
        <f aca="false">A10</f>
        <v>Santa Rosa</v>
      </c>
      <c r="B34" s="283" t="n">
        <v>27</v>
      </c>
      <c r="C34" s="302" t="n">
        <v>0.2</v>
      </c>
      <c r="F34" s="267"/>
      <c r="G34" s="267"/>
      <c r="K34" s="272"/>
      <c r="M34" s="267"/>
      <c r="AMJ34" s="268"/>
    </row>
    <row r="35" customFormat="false" ht="12.75" hidden="false" customHeight="true" outlineLevel="0" collapsed="false">
      <c r="A35" s="273" t="str">
        <f aca="false">A11</f>
        <v>Santa Cruz do Sul</v>
      </c>
      <c r="B35" s="283" t="n">
        <v>27</v>
      </c>
      <c r="C35" s="302" t="n">
        <v>0.2</v>
      </c>
      <c r="F35" s="267"/>
      <c r="G35" s="267"/>
      <c r="K35" s="272"/>
      <c r="M35" s="267"/>
      <c r="AMJ35" s="268"/>
    </row>
    <row r="36" customFormat="false" ht="15" hidden="false" customHeight="false" outlineLevel="0" collapsed="false">
      <c r="A36" s="273" t="str">
        <f aca="false">A12</f>
        <v>Erechim e Getúlio Vargas</v>
      </c>
      <c r="B36" s="283" t="n">
        <v>31</v>
      </c>
      <c r="C36" s="302" t="n">
        <v>0.2</v>
      </c>
      <c r="F36" s="267"/>
      <c r="G36" s="267"/>
      <c r="K36" s="272"/>
      <c r="M36" s="267"/>
      <c r="AMJ36" s="268"/>
    </row>
    <row r="37" customFormat="false" ht="15" hidden="false" customHeight="false" outlineLevel="0" collapsed="false">
      <c r="A37" s="276"/>
      <c r="B37" s="295"/>
      <c r="C37" s="295"/>
      <c r="D37" s="304"/>
      <c r="F37" s="305"/>
      <c r="G37" s="306"/>
      <c r="H37" s="295"/>
      <c r="I37" s="303"/>
      <c r="K37" s="272"/>
    </row>
    <row r="38" customFormat="false" ht="15" hidden="false" customHeight="false" outlineLevel="0" collapsed="false">
      <c r="A38" s="307" t="s">
        <v>637</v>
      </c>
      <c r="B38" s="308" t="n">
        <v>23.72</v>
      </c>
      <c r="C38" s="304"/>
      <c r="E38" s="305"/>
      <c r="F38" s="306"/>
      <c r="G38" s="295"/>
      <c r="H38" s="303"/>
      <c r="K38" s="272"/>
      <c r="M38" s="267"/>
      <c r="AMJ38" s="268"/>
    </row>
    <row r="39" customFormat="false" ht="15" hidden="false" customHeight="false" outlineLevel="0" collapsed="false">
      <c r="A39" s="276"/>
      <c r="B39" s="295"/>
      <c r="C39" s="295"/>
      <c r="F39" s="305"/>
      <c r="G39" s="306"/>
      <c r="H39" s="295"/>
      <c r="I39" s="303"/>
      <c r="K39" s="272"/>
    </row>
    <row r="40" s="267" customFormat="true" ht="15.75" hidden="false" customHeight="false" outlineLevel="0" collapsed="false">
      <c r="A40" s="309" t="s">
        <v>738</v>
      </c>
      <c r="B40" s="309"/>
      <c r="C40" s="309"/>
      <c r="D40" s="309"/>
      <c r="E40" s="309"/>
      <c r="F40" s="309"/>
      <c r="G40" s="309"/>
      <c r="H40" s="309"/>
      <c r="I40" s="309"/>
      <c r="J40" s="309"/>
      <c r="K40" s="309"/>
    </row>
    <row r="41" s="267" customFormat="true" ht="12" hidden="false" customHeight="false" outlineLevel="0" collapsed="false">
      <c r="A41" s="310" t="s">
        <v>739</v>
      </c>
      <c r="B41" s="310"/>
      <c r="C41" s="310"/>
      <c r="D41" s="310"/>
      <c r="E41" s="310"/>
      <c r="F41" s="310"/>
      <c r="G41" s="310"/>
      <c r="H41" s="310"/>
      <c r="I41" s="310"/>
      <c r="J41" s="310"/>
      <c r="K41" s="310"/>
    </row>
    <row r="42" s="267" customFormat="true" ht="12" hidden="false" customHeight="false" outlineLevel="0" collapsed="false">
      <c r="A42" s="311" t="s">
        <v>740</v>
      </c>
      <c r="B42" s="311"/>
      <c r="C42" s="311"/>
      <c r="D42" s="311"/>
      <c r="E42" s="311"/>
      <c r="F42" s="311"/>
      <c r="G42" s="311"/>
      <c r="H42" s="311"/>
      <c r="I42" s="311"/>
      <c r="J42" s="311"/>
      <c r="K42" s="311"/>
    </row>
    <row r="43" s="267" customFormat="true" ht="12" hidden="false" customHeight="false" outlineLevel="0" collapsed="false">
      <c r="A43" s="312" t="s">
        <v>741</v>
      </c>
      <c r="B43" s="313"/>
      <c r="C43" s="313"/>
      <c r="D43" s="313"/>
      <c r="E43" s="313"/>
      <c r="F43" s="313"/>
      <c r="G43" s="313"/>
      <c r="H43" s="313"/>
      <c r="I43" s="313"/>
      <c r="J43" s="313"/>
      <c r="K43" s="314"/>
    </row>
    <row r="44" s="267" customFormat="true" ht="12" hidden="false" customHeight="false" outlineLevel="0" collapsed="false">
      <c r="A44" s="315" t="s">
        <v>742</v>
      </c>
      <c r="B44" s="315"/>
      <c r="C44" s="315"/>
      <c r="D44" s="315"/>
      <c r="E44" s="315"/>
      <c r="F44" s="315"/>
      <c r="G44" s="315"/>
      <c r="H44" s="315"/>
      <c r="I44" s="315"/>
      <c r="J44" s="315"/>
      <c r="K44" s="315"/>
    </row>
    <row r="45" s="267" customFormat="true" ht="12" hidden="false" customHeight="false" outlineLevel="0" collapsed="false">
      <c r="A45" s="311" t="s">
        <v>743</v>
      </c>
      <c r="B45" s="311"/>
      <c r="C45" s="311"/>
      <c r="D45" s="311"/>
      <c r="E45" s="311"/>
      <c r="F45" s="311"/>
      <c r="G45" s="311"/>
      <c r="H45" s="311"/>
      <c r="I45" s="311"/>
      <c r="J45" s="311"/>
      <c r="K45" s="311"/>
    </row>
    <row r="46" s="267" customFormat="true" ht="12" hidden="false" customHeight="false" outlineLevel="0" collapsed="false">
      <c r="A46" s="315" t="s">
        <v>744</v>
      </c>
      <c r="B46" s="315"/>
      <c r="C46" s="315"/>
      <c r="D46" s="315"/>
      <c r="E46" s="315"/>
      <c r="F46" s="315"/>
      <c r="G46" s="315"/>
      <c r="H46" s="315"/>
      <c r="I46" s="315"/>
      <c r="J46" s="315"/>
      <c r="K46" s="315"/>
    </row>
    <row r="47" s="267" customFormat="true" ht="24.75" hidden="false" customHeight="true" outlineLevel="0" collapsed="false">
      <c r="A47" s="316" t="s">
        <v>745</v>
      </c>
      <c r="B47" s="316"/>
      <c r="C47" s="316"/>
      <c r="D47" s="316"/>
      <c r="E47" s="316"/>
      <c r="F47" s="316"/>
      <c r="G47" s="316"/>
      <c r="H47" s="316"/>
      <c r="I47" s="316"/>
      <c r="J47" s="316"/>
      <c r="K47" s="316"/>
    </row>
    <row r="48" s="267" customFormat="true" ht="12" hidden="false" customHeight="false" outlineLevel="0" collapsed="false">
      <c r="A48" s="315" t="s">
        <v>746</v>
      </c>
      <c r="B48" s="315"/>
      <c r="C48" s="315"/>
      <c r="D48" s="315"/>
      <c r="E48" s="315"/>
      <c r="F48" s="315"/>
      <c r="G48" s="315"/>
      <c r="H48" s="315"/>
      <c r="I48" s="315"/>
      <c r="J48" s="315"/>
      <c r="K48" s="315"/>
    </row>
    <row r="49" s="267" customFormat="true" ht="12" hidden="false" customHeight="false" outlineLevel="0" collapsed="false">
      <c r="A49" s="317" t="s">
        <v>747</v>
      </c>
      <c r="B49" s="317"/>
      <c r="C49" s="317"/>
      <c r="D49" s="317"/>
      <c r="E49" s="317"/>
      <c r="F49" s="317"/>
      <c r="G49" s="317"/>
      <c r="H49" s="317"/>
      <c r="I49" s="317"/>
      <c r="J49" s="317"/>
      <c r="K49" s="317"/>
    </row>
    <row r="50" s="267" customFormat="true" ht="23.25" hidden="false" customHeight="true" outlineLevel="0" collapsed="false">
      <c r="A50" s="316" t="s">
        <v>748</v>
      </c>
      <c r="B50" s="316"/>
      <c r="C50" s="316"/>
      <c r="D50" s="316"/>
      <c r="E50" s="316"/>
      <c r="F50" s="316"/>
      <c r="G50" s="316"/>
      <c r="H50" s="316"/>
      <c r="I50" s="316"/>
      <c r="J50" s="316"/>
      <c r="K50" s="316"/>
    </row>
    <row r="51" s="267" customFormat="true" ht="39" hidden="false" customHeight="true" outlineLevel="0" collapsed="false">
      <c r="A51" s="316" t="s">
        <v>749</v>
      </c>
      <c r="B51" s="316"/>
      <c r="C51" s="316"/>
      <c r="D51" s="316"/>
      <c r="E51" s="316"/>
      <c r="F51" s="316"/>
      <c r="G51" s="316"/>
      <c r="H51" s="316"/>
      <c r="I51" s="316"/>
      <c r="J51" s="316"/>
      <c r="K51" s="316"/>
    </row>
    <row r="52" s="267" customFormat="true" ht="12" hidden="false" customHeight="true" outlineLevel="0" collapsed="false">
      <c r="A52" s="315" t="s">
        <v>750</v>
      </c>
      <c r="B52" s="315"/>
      <c r="C52" s="315"/>
      <c r="D52" s="315"/>
      <c r="E52" s="315"/>
      <c r="F52" s="315"/>
      <c r="G52" s="315"/>
      <c r="H52" s="315"/>
      <c r="I52" s="315"/>
      <c r="J52" s="315"/>
      <c r="K52" s="315"/>
    </row>
    <row r="53" s="267" customFormat="true" ht="24" hidden="false" customHeight="true" outlineLevel="0" collapsed="false">
      <c r="A53" s="287" t="s">
        <v>751</v>
      </c>
      <c r="B53" s="287"/>
      <c r="C53" s="287"/>
      <c r="D53" s="287"/>
      <c r="E53" s="287"/>
      <c r="F53" s="287"/>
      <c r="G53" s="287"/>
      <c r="H53" s="287"/>
      <c r="I53" s="287"/>
      <c r="J53" s="287"/>
      <c r="K53" s="287"/>
    </row>
    <row r="54" s="267" customFormat="true" ht="12" hidden="false" customHeight="true" outlineLevel="0" collapsed="false">
      <c r="A54" s="316" t="s">
        <v>752</v>
      </c>
      <c r="B54" s="316"/>
      <c r="C54" s="316"/>
      <c r="D54" s="316"/>
      <c r="E54" s="316"/>
      <c r="F54" s="316"/>
      <c r="G54" s="316"/>
      <c r="H54" s="316"/>
      <c r="I54" s="316"/>
      <c r="J54" s="316"/>
      <c r="K54" s="316"/>
      <c r="M54" s="318"/>
    </row>
    <row r="55" s="267" customFormat="true" ht="12" hidden="false" customHeight="false" outlineLevel="0" collapsed="false">
      <c r="A55" s="276"/>
      <c r="C55" s="268"/>
      <c r="K55" s="282"/>
      <c r="M55" s="318"/>
    </row>
    <row r="56" customFormat="false" ht="15.75" hidden="false" customHeight="false" outlineLevel="0" collapsed="false">
      <c r="A56" s="309" t="s">
        <v>753</v>
      </c>
      <c r="B56" s="309"/>
      <c r="C56" s="309"/>
      <c r="D56" s="309"/>
      <c r="E56" s="309"/>
      <c r="F56" s="309"/>
      <c r="G56" s="309"/>
      <c r="H56" s="309"/>
      <c r="I56" s="309"/>
      <c r="J56" s="309"/>
      <c r="K56" s="309"/>
      <c r="L56" s="318"/>
      <c r="M56" s="318"/>
    </row>
    <row r="57" customFormat="false" ht="15" hidden="false" customHeight="false" outlineLevel="0" collapsed="false">
      <c r="A57" s="310" t="s">
        <v>651</v>
      </c>
      <c r="B57" s="310"/>
      <c r="C57" s="310"/>
      <c r="D57" s="310"/>
      <c r="E57" s="310"/>
      <c r="F57" s="310"/>
      <c r="G57" s="310"/>
      <c r="H57" s="310"/>
      <c r="I57" s="310"/>
      <c r="J57" s="310"/>
      <c r="K57" s="310"/>
      <c r="L57" s="318"/>
      <c r="M57" s="318"/>
    </row>
    <row r="58" customFormat="false" ht="25.5" hidden="false" customHeight="true" outlineLevel="0" collapsed="false">
      <c r="A58" s="287" t="s">
        <v>754</v>
      </c>
      <c r="B58" s="287"/>
      <c r="C58" s="287"/>
      <c r="D58" s="287"/>
      <c r="E58" s="287"/>
      <c r="F58" s="287"/>
      <c r="G58" s="287"/>
      <c r="H58" s="287"/>
      <c r="I58" s="287"/>
      <c r="J58" s="287"/>
      <c r="K58" s="287"/>
      <c r="L58" s="318"/>
      <c r="M58" s="318"/>
    </row>
    <row r="59" customFormat="false" ht="12" hidden="false" customHeight="true" outlineLevel="0" collapsed="false">
      <c r="A59" s="316" t="s">
        <v>755</v>
      </c>
      <c r="B59" s="316"/>
      <c r="C59" s="316"/>
      <c r="D59" s="316"/>
      <c r="E59" s="316"/>
      <c r="F59" s="316"/>
      <c r="G59" s="316"/>
      <c r="H59" s="316"/>
      <c r="I59" s="316"/>
      <c r="J59" s="316"/>
      <c r="K59" s="316"/>
      <c r="L59" s="318"/>
      <c r="M59" s="318"/>
    </row>
    <row r="60" customFormat="false" ht="25.5" hidden="false" customHeight="true" outlineLevel="0" collapsed="false">
      <c r="A60" s="287" t="s">
        <v>756</v>
      </c>
      <c r="B60" s="287"/>
      <c r="C60" s="287"/>
      <c r="D60" s="287"/>
      <c r="E60" s="287"/>
      <c r="F60" s="287"/>
      <c r="G60" s="287"/>
      <c r="H60" s="287"/>
      <c r="I60" s="287"/>
      <c r="J60" s="287"/>
      <c r="K60" s="287"/>
      <c r="L60" s="318"/>
      <c r="M60" s="318"/>
    </row>
    <row r="61" customFormat="false" ht="12" hidden="false" customHeight="true" outlineLevel="0" collapsed="false">
      <c r="A61" s="316" t="s">
        <v>757</v>
      </c>
      <c r="B61" s="316"/>
      <c r="C61" s="316"/>
      <c r="D61" s="316"/>
      <c r="E61" s="316"/>
      <c r="F61" s="316"/>
      <c r="G61" s="316"/>
      <c r="H61" s="316"/>
      <c r="I61" s="316"/>
      <c r="J61" s="316"/>
      <c r="K61" s="316"/>
      <c r="L61" s="318"/>
      <c r="M61" s="318"/>
    </row>
    <row r="62" customFormat="false" ht="12" hidden="false" customHeight="true" outlineLevel="0" collapsed="false">
      <c r="A62" s="287" t="s">
        <v>758</v>
      </c>
      <c r="B62" s="287"/>
      <c r="C62" s="287"/>
      <c r="D62" s="287"/>
      <c r="E62" s="287"/>
      <c r="F62" s="287"/>
      <c r="G62" s="287"/>
      <c r="H62" s="287"/>
      <c r="I62" s="287"/>
      <c r="J62" s="287"/>
      <c r="K62" s="287"/>
      <c r="L62" s="318"/>
      <c r="M62" s="318"/>
    </row>
    <row r="63" customFormat="false" ht="12" hidden="false" customHeight="true" outlineLevel="0" collapsed="false">
      <c r="A63" s="319" t="s">
        <v>759</v>
      </c>
      <c r="B63" s="319"/>
      <c r="C63" s="319"/>
      <c r="D63" s="319"/>
      <c r="E63" s="319"/>
      <c r="F63" s="319"/>
      <c r="G63" s="319"/>
      <c r="H63" s="319"/>
      <c r="I63" s="319"/>
      <c r="J63" s="319"/>
      <c r="K63" s="319"/>
      <c r="L63" s="318"/>
      <c r="M63" s="318"/>
    </row>
    <row r="64" customFormat="false" ht="12.75" hidden="false" customHeight="true" outlineLevel="0" collapsed="false">
      <c r="A64" s="319" t="s">
        <v>760</v>
      </c>
      <c r="B64" s="319"/>
      <c r="C64" s="319"/>
      <c r="D64" s="319"/>
      <c r="E64" s="319"/>
      <c r="F64" s="319"/>
      <c r="G64" s="319"/>
      <c r="H64" s="319"/>
      <c r="I64" s="319"/>
      <c r="J64" s="319"/>
      <c r="K64" s="319"/>
      <c r="L64" s="318"/>
      <c r="M64" s="318"/>
    </row>
    <row r="65" customFormat="false" ht="12.75" hidden="false" customHeight="true" outlineLevel="0" collapsed="false">
      <c r="A65" s="319" t="s">
        <v>761</v>
      </c>
      <c r="B65" s="319"/>
      <c r="C65" s="319"/>
      <c r="D65" s="319"/>
      <c r="E65" s="319"/>
      <c r="F65" s="319"/>
      <c r="G65" s="319"/>
      <c r="H65" s="319"/>
      <c r="I65" s="319"/>
      <c r="J65" s="319"/>
      <c r="K65" s="319"/>
      <c r="L65" s="318"/>
      <c r="M65" s="318"/>
    </row>
    <row r="66" customFormat="false" ht="25.5" hidden="false" customHeight="true" outlineLevel="0" collapsed="false">
      <c r="A66" s="287" t="s">
        <v>762</v>
      </c>
      <c r="B66" s="287"/>
      <c r="C66" s="287"/>
      <c r="D66" s="287"/>
      <c r="E66" s="287"/>
      <c r="F66" s="287"/>
      <c r="G66" s="287"/>
      <c r="H66" s="287"/>
      <c r="I66" s="287"/>
      <c r="J66" s="287"/>
      <c r="K66" s="287"/>
      <c r="L66" s="318"/>
      <c r="M66" s="318"/>
    </row>
    <row r="67" customFormat="false" ht="12" hidden="false" customHeight="true" outlineLevel="0" collapsed="false">
      <c r="A67" s="319" t="s">
        <v>763</v>
      </c>
      <c r="B67" s="319"/>
      <c r="C67" s="319"/>
      <c r="D67" s="319"/>
      <c r="E67" s="319"/>
      <c r="F67" s="319"/>
      <c r="G67" s="319"/>
      <c r="H67" s="319"/>
      <c r="I67" s="319"/>
      <c r="J67" s="319"/>
      <c r="K67" s="319"/>
      <c r="L67" s="318"/>
      <c r="M67" s="318"/>
    </row>
    <row r="68" customFormat="false" ht="12" hidden="false" customHeight="true" outlineLevel="0" collapsed="false">
      <c r="A68" s="319" t="s">
        <v>764</v>
      </c>
      <c r="B68" s="319"/>
      <c r="C68" s="319"/>
      <c r="D68" s="319"/>
      <c r="E68" s="319"/>
      <c r="F68" s="319"/>
      <c r="G68" s="319"/>
      <c r="H68" s="319"/>
      <c r="I68" s="319"/>
      <c r="J68" s="319"/>
      <c r="K68" s="319"/>
      <c r="L68" s="318"/>
      <c r="M68" s="318"/>
    </row>
    <row r="69" customFormat="false" ht="12" hidden="false" customHeight="true" outlineLevel="0" collapsed="false">
      <c r="A69" s="319" t="s">
        <v>765</v>
      </c>
      <c r="B69" s="319"/>
      <c r="C69" s="319"/>
      <c r="D69" s="319"/>
      <c r="E69" s="319"/>
      <c r="F69" s="319"/>
      <c r="G69" s="319"/>
      <c r="H69" s="319"/>
      <c r="I69" s="319"/>
      <c r="J69" s="319"/>
      <c r="K69" s="319"/>
      <c r="L69" s="318"/>
      <c r="M69" s="318"/>
    </row>
    <row r="70" customFormat="false" ht="33" hidden="false" customHeight="true" outlineLevel="0" collapsed="false">
      <c r="A70" s="287" t="s">
        <v>766</v>
      </c>
      <c r="B70" s="287"/>
      <c r="C70" s="287"/>
      <c r="D70" s="287"/>
      <c r="E70" s="287"/>
      <c r="F70" s="287"/>
      <c r="G70" s="287"/>
      <c r="H70" s="287"/>
      <c r="I70" s="287"/>
      <c r="J70" s="287"/>
      <c r="K70" s="287"/>
      <c r="L70" s="318"/>
      <c r="M70" s="318"/>
    </row>
    <row r="71" customFormat="false" ht="12.75" hidden="false" customHeight="true" outlineLevel="0" collapsed="false">
      <c r="A71" s="319" t="s">
        <v>767</v>
      </c>
      <c r="B71" s="319"/>
      <c r="C71" s="319"/>
      <c r="D71" s="319"/>
      <c r="E71" s="319"/>
      <c r="F71" s="319"/>
      <c r="G71" s="319"/>
      <c r="H71" s="319"/>
      <c r="I71" s="319"/>
      <c r="J71" s="319"/>
      <c r="K71" s="319"/>
      <c r="L71" s="318"/>
      <c r="M71" s="318"/>
    </row>
    <row r="72" customFormat="false" ht="12.75" hidden="false" customHeight="true" outlineLevel="0" collapsed="false">
      <c r="A72" s="319" t="s">
        <v>768</v>
      </c>
      <c r="B72" s="319"/>
      <c r="C72" s="319"/>
      <c r="D72" s="319"/>
      <c r="E72" s="319"/>
      <c r="F72" s="319"/>
      <c r="G72" s="319"/>
      <c r="H72" s="319"/>
      <c r="I72" s="319"/>
      <c r="J72" s="319"/>
      <c r="K72" s="319"/>
      <c r="L72" s="318"/>
      <c r="M72" s="318"/>
    </row>
    <row r="73" customFormat="false" ht="12.75" hidden="false" customHeight="true" outlineLevel="0" collapsed="false">
      <c r="A73" s="319" t="s">
        <v>769</v>
      </c>
      <c r="B73" s="319"/>
      <c r="C73" s="319"/>
      <c r="D73" s="319"/>
      <c r="E73" s="319"/>
      <c r="F73" s="319"/>
      <c r="G73" s="319"/>
      <c r="H73" s="319"/>
      <c r="I73" s="319"/>
      <c r="J73" s="319"/>
      <c r="K73" s="319"/>
      <c r="L73" s="318"/>
      <c r="M73" s="318"/>
    </row>
    <row r="74" customFormat="false" ht="12.75" hidden="false" customHeight="true" outlineLevel="0" collapsed="false">
      <c r="A74" s="320" t="s">
        <v>770</v>
      </c>
      <c r="B74" s="320"/>
      <c r="C74" s="320"/>
      <c r="D74" s="320"/>
      <c r="E74" s="320"/>
      <c r="F74" s="320"/>
      <c r="G74" s="320"/>
      <c r="H74" s="320"/>
      <c r="I74" s="320"/>
      <c r="J74" s="320"/>
      <c r="K74" s="320"/>
      <c r="L74" s="318"/>
      <c r="M74" s="318"/>
    </row>
    <row r="75" customFormat="false" ht="12.75" hidden="false" customHeight="true" outlineLevel="0" collapsed="false">
      <c r="A75" s="321" t="s">
        <v>673</v>
      </c>
      <c r="B75" s="322" t="n">
        <v>0.03</v>
      </c>
      <c r="C75" s="323"/>
      <c r="D75" s="324"/>
      <c r="E75" s="324"/>
      <c r="F75" s="324"/>
      <c r="G75" s="324"/>
      <c r="H75" s="324"/>
      <c r="I75" s="324"/>
      <c r="J75" s="324"/>
      <c r="K75" s="325"/>
      <c r="L75" s="318"/>
      <c r="M75" s="318"/>
    </row>
    <row r="76" customFormat="false" ht="15" hidden="false" customHeight="false" outlineLevel="0" collapsed="false">
      <c r="A76" s="326" t="s">
        <v>674</v>
      </c>
      <c r="B76" s="327" t="n">
        <v>0.0679</v>
      </c>
      <c r="C76" s="328"/>
      <c r="D76" s="329"/>
      <c r="E76" s="329"/>
      <c r="F76" s="329"/>
      <c r="G76" s="329"/>
      <c r="H76" s="329"/>
      <c r="I76" s="329"/>
      <c r="J76" s="329"/>
      <c r="K76" s="330"/>
      <c r="L76" s="318"/>
      <c r="M76" s="318"/>
    </row>
    <row r="65436" customFormat="false" ht="12.75" hidden="false" customHeight="true" outlineLevel="0" collapsed="false"/>
    <row r="65437" customFormat="false" ht="12.75" hidden="false" customHeight="true" outlineLevel="0" collapsed="false"/>
    <row r="65438" customFormat="false" ht="12.75" hidden="false" customHeight="true" outlineLevel="0" collapsed="false"/>
    <row r="65439" customFormat="false" ht="12.75" hidden="false" customHeight="true" outlineLevel="0" collapsed="false"/>
    <row r="65440" customFormat="false" ht="12.75" hidden="false" customHeight="true" outlineLevel="0" collapsed="false"/>
    <row r="65441" customFormat="false" ht="12.75" hidden="false" customHeight="true" outlineLevel="0" collapsed="false"/>
    <row r="65442" customFormat="false" ht="12.75" hidden="false" customHeight="true" outlineLevel="0" collapsed="false"/>
    <row r="65443" customFormat="false" ht="12.75" hidden="false" customHeight="true" outlineLevel="0" collapsed="false"/>
    <row r="1048484" customFormat="false" ht="12.75" hidden="false" customHeight="true" outlineLevel="0" collapsed="false"/>
    <row r="1048485" customFormat="false" ht="12.75" hidden="false" customHeight="true" outlineLevel="0" collapsed="false"/>
    <row r="1048486" customFormat="false" ht="12.75" hidden="false" customHeight="true" outlineLevel="0" collapsed="false"/>
    <row r="1048487" customFormat="false" ht="12.75" hidden="false" customHeight="true" outlineLevel="0" collapsed="false"/>
    <row r="1048488" customFormat="false" ht="12.75" hidden="false" customHeight="true" outlineLevel="0" collapsed="false"/>
    <row r="1048489" customFormat="false" ht="12.75" hidden="false" customHeight="true" outlineLevel="0" collapsed="false"/>
    <row r="1048490" customFormat="false" ht="12.75" hidden="false" customHeight="true" outlineLevel="0" collapsed="false"/>
    <row r="1048491" customFormat="false" ht="12.75" hidden="false" customHeight="true" outlineLevel="0" collapsed="false"/>
    <row r="1048492" customFormat="false" ht="12.75" hidden="false" customHeight="true" outlineLevel="0" collapsed="false"/>
    <row r="1048493" customFormat="false" ht="12.75" hidden="false" customHeight="true" outlineLevel="0" collapsed="false"/>
    <row r="1048494" customFormat="false" ht="12.75" hidden="false" customHeight="true" outlineLevel="0" collapsed="false"/>
    <row r="1048495" customFormat="false" ht="12.75" hidden="false" customHeight="true" outlineLevel="0" collapsed="false"/>
    <row r="1048496" customFormat="false" ht="12.75" hidden="false" customHeight="true" outlineLevel="0" collapsed="false"/>
    <row r="1048497" customFormat="false" ht="12.75" hidden="false" customHeight="true" outlineLevel="0" collapsed="false"/>
    <row r="1048498" customFormat="false" ht="12.75" hidden="false" customHeight="true" outlineLevel="0" collapsed="false"/>
  </sheetData>
  <mergeCells count="52">
    <mergeCell ref="A1:K1"/>
    <mergeCell ref="B3:C3"/>
    <mergeCell ref="B4:C4"/>
    <mergeCell ref="A6:K6"/>
    <mergeCell ref="B7:C7"/>
    <mergeCell ref="D7:D8"/>
    <mergeCell ref="E7:E8"/>
    <mergeCell ref="F7:F8"/>
    <mergeCell ref="B13:F13"/>
    <mergeCell ref="A14:A16"/>
    <mergeCell ref="B14:F16"/>
    <mergeCell ref="A17:A19"/>
    <mergeCell ref="B17:F19"/>
    <mergeCell ref="A20:A21"/>
    <mergeCell ref="B20:F21"/>
    <mergeCell ref="B22:F22"/>
    <mergeCell ref="B23:F23"/>
    <mergeCell ref="A29:K29"/>
    <mergeCell ref="A31:C31"/>
    <mergeCell ref="A40:K40"/>
    <mergeCell ref="A41:K41"/>
    <mergeCell ref="A42:K42"/>
    <mergeCell ref="A44:K44"/>
    <mergeCell ref="A45:K45"/>
    <mergeCell ref="A46:K46"/>
    <mergeCell ref="A47:K47"/>
    <mergeCell ref="A48:K48"/>
    <mergeCell ref="A49:K49"/>
    <mergeCell ref="A50:K50"/>
    <mergeCell ref="A51:K51"/>
    <mergeCell ref="A52:K52"/>
    <mergeCell ref="A53:K53"/>
    <mergeCell ref="A54:K54"/>
    <mergeCell ref="A56:K56"/>
    <mergeCell ref="A57:K57"/>
    <mergeCell ref="A58:K58"/>
    <mergeCell ref="A59:K59"/>
    <mergeCell ref="A60:K60"/>
    <mergeCell ref="A61:K61"/>
    <mergeCell ref="A62:K62"/>
    <mergeCell ref="A63:K63"/>
    <mergeCell ref="A64:K64"/>
    <mergeCell ref="A65:K65"/>
    <mergeCell ref="A66:K66"/>
    <mergeCell ref="A67:K67"/>
    <mergeCell ref="A68:K68"/>
    <mergeCell ref="A69:K69"/>
    <mergeCell ref="A70:K70"/>
    <mergeCell ref="A71:K71"/>
    <mergeCell ref="A72:K72"/>
    <mergeCell ref="A73:K73"/>
    <mergeCell ref="A74:K7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5A11"/>
    <pageSetUpPr fitToPage="false"/>
  </sheetPr>
  <dimension ref="A1:H28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4" activeCellId="0" sqref="H34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39.57"/>
    <col collapsed="false" customWidth="true" hidden="false" outlineLevel="0" max="3" min="3" style="0" width="10.42"/>
    <col collapsed="false" customWidth="true" hidden="false" outlineLevel="0" max="4" min="4" style="0" width="11.57"/>
    <col collapsed="false" customWidth="true" hidden="false" outlineLevel="0" max="5" min="5" style="0" width="15.57"/>
    <col collapsed="false" customWidth="true" hidden="false" outlineLevel="0" max="6" min="6" style="0" width="18.42"/>
    <col collapsed="false" customWidth="true" hidden="false" outlineLevel="0" max="8" min="8" style="0" width="15.29"/>
    <col collapsed="false" customWidth="true" hidden="false" outlineLevel="0" max="1024" min="1018" style="0" width="8.42"/>
  </cols>
  <sheetData>
    <row r="1" customFormat="false" ht="14.25" hidden="false" customHeight="true" outlineLevel="0" collapsed="false">
      <c r="A1" s="2" t="s">
        <v>771</v>
      </c>
      <c r="B1" s="2"/>
      <c r="C1" s="2"/>
      <c r="D1" s="2"/>
      <c r="E1" s="2"/>
      <c r="F1" s="2"/>
    </row>
    <row r="2" customFormat="false" ht="14.25" hidden="false" customHeight="true" outlineLevel="0" collapsed="false">
      <c r="A2" s="331"/>
      <c r="B2" s="332"/>
      <c r="C2" s="332"/>
      <c r="D2" s="332"/>
      <c r="E2" s="332"/>
      <c r="F2" s="332"/>
    </row>
    <row r="3" customFormat="false" ht="14.25" hidden="false" customHeight="true" outlineLevel="0" collapsed="false">
      <c r="A3" s="333" t="s">
        <v>772</v>
      </c>
      <c r="B3" s="333"/>
      <c r="C3" s="333"/>
      <c r="D3" s="333"/>
      <c r="E3" s="333"/>
      <c r="F3" s="333"/>
    </row>
    <row r="4" s="60" customFormat="true" ht="26.25" hidden="false" customHeight="true" outlineLevel="0" collapsed="false">
      <c r="A4" s="334" t="s">
        <v>773</v>
      </c>
      <c r="B4" s="334" t="s">
        <v>774</v>
      </c>
      <c r="C4" s="334" t="s">
        <v>1</v>
      </c>
      <c r="D4" s="334" t="s">
        <v>775</v>
      </c>
      <c r="E4" s="335" t="s">
        <v>776</v>
      </c>
      <c r="F4" s="334" t="s">
        <v>777</v>
      </c>
    </row>
    <row r="5" customFormat="false" ht="14.25" hidden="false" customHeight="true" outlineLevel="0" collapsed="false">
      <c r="A5" s="336" t="n">
        <v>1</v>
      </c>
      <c r="B5" s="337" t="s">
        <v>778</v>
      </c>
      <c r="C5" s="336" t="s">
        <v>1</v>
      </c>
      <c r="D5" s="338" t="n">
        <v>4</v>
      </c>
      <c r="E5" s="336" t="n">
        <v>94</v>
      </c>
      <c r="F5" s="336" t="n">
        <f aca="false">E5*D5</f>
        <v>376</v>
      </c>
    </row>
    <row r="6" customFormat="false" ht="14.25" hidden="false" customHeight="true" outlineLevel="0" collapsed="false">
      <c r="A6" s="336" t="n">
        <v>2</v>
      </c>
      <c r="B6" s="337" t="s">
        <v>779</v>
      </c>
      <c r="C6" s="336" t="s">
        <v>1</v>
      </c>
      <c r="D6" s="338" t="n">
        <v>2</v>
      </c>
      <c r="E6" s="336" t="n">
        <v>118.94</v>
      </c>
      <c r="F6" s="336" t="n">
        <f aca="false">E6*D6</f>
        <v>237.88</v>
      </c>
    </row>
    <row r="7" customFormat="false" ht="14.25" hidden="false" customHeight="true" outlineLevel="0" collapsed="false">
      <c r="A7" s="336" t="n">
        <v>3</v>
      </c>
      <c r="B7" s="337" t="s">
        <v>780</v>
      </c>
      <c r="C7" s="336" t="s">
        <v>1</v>
      </c>
      <c r="D7" s="338" t="n">
        <v>2</v>
      </c>
      <c r="E7" s="336" t="n">
        <v>11.49</v>
      </c>
      <c r="F7" s="336" t="n">
        <f aca="false">E7*D7</f>
        <v>22.98</v>
      </c>
    </row>
    <row r="8" customFormat="false" ht="14.25" hidden="false" customHeight="true" outlineLevel="0" collapsed="false">
      <c r="A8" s="336" t="n">
        <v>4</v>
      </c>
      <c r="B8" s="337" t="s">
        <v>781</v>
      </c>
      <c r="C8" s="336" t="s">
        <v>1</v>
      </c>
      <c r="D8" s="338" t="n">
        <v>1</v>
      </c>
      <c r="E8" s="336" t="n">
        <v>156.94</v>
      </c>
      <c r="F8" s="336" t="n">
        <f aca="false">E8*D8</f>
        <v>156.94</v>
      </c>
    </row>
    <row r="9" customFormat="false" ht="14.25" hidden="false" customHeight="true" outlineLevel="0" collapsed="false">
      <c r="A9" s="336" t="n">
        <v>5</v>
      </c>
      <c r="B9" s="337" t="s">
        <v>782</v>
      </c>
      <c r="C9" s="336" t="s">
        <v>1</v>
      </c>
      <c r="D9" s="338" t="n">
        <v>1</v>
      </c>
      <c r="E9" s="336" t="n">
        <v>33</v>
      </c>
      <c r="F9" s="336" t="n">
        <f aca="false">E9*D9</f>
        <v>33</v>
      </c>
    </row>
    <row r="10" customFormat="false" ht="14.25" hidden="false" customHeight="true" outlineLevel="0" collapsed="false">
      <c r="A10" s="336" t="n">
        <v>6</v>
      </c>
      <c r="B10" s="337" t="s">
        <v>783</v>
      </c>
      <c r="C10" s="336" t="s">
        <v>784</v>
      </c>
      <c r="D10" s="338" t="n">
        <v>1</v>
      </c>
      <c r="E10" s="336" t="n">
        <v>214.9</v>
      </c>
      <c r="F10" s="336" t="n">
        <f aca="false">E10*D10</f>
        <v>214.9</v>
      </c>
    </row>
    <row r="11" customFormat="false" ht="14.25" hidden="false" customHeight="true" outlineLevel="0" collapsed="false">
      <c r="A11" s="339" t="s">
        <v>785</v>
      </c>
      <c r="B11" s="339"/>
      <c r="C11" s="339"/>
      <c r="D11" s="339"/>
      <c r="E11" s="339"/>
      <c r="F11" s="340" t="n">
        <f aca="false">SUM(F5:F10)</f>
        <v>1041.7</v>
      </c>
    </row>
    <row r="12" customFormat="false" ht="14.25" hidden="false" customHeight="true" outlineLevel="0" collapsed="false">
      <c r="A12" s="339" t="s">
        <v>786</v>
      </c>
      <c r="B12" s="339"/>
      <c r="C12" s="339"/>
      <c r="D12" s="339"/>
      <c r="E12" s="339"/>
      <c r="F12" s="341" t="n">
        <f aca="false">F11/12</f>
        <v>86.8083333333333</v>
      </c>
    </row>
    <row r="13" customFormat="false" ht="14.25" hidden="false" customHeight="true" outlineLevel="0" collapsed="false">
      <c r="A13" s="331"/>
      <c r="B13" s="332"/>
      <c r="C13" s="332"/>
      <c r="D13" s="332"/>
      <c r="E13" s="332"/>
      <c r="F13" s="332"/>
    </row>
    <row r="14" customFormat="false" ht="14.25" hidden="false" customHeight="true" outlineLevel="0" collapsed="false">
      <c r="A14" s="331"/>
      <c r="B14" s="332"/>
      <c r="C14" s="332"/>
      <c r="D14" s="332"/>
      <c r="E14" s="332"/>
      <c r="F14" s="332"/>
    </row>
    <row r="15" customFormat="false" ht="14.25" hidden="false" customHeight="true" outlineLevel="0" collapsed="false">
      <c r="A15" s="342" t="s">
        <v>787</v>
      </c>
      <c r="B15" s="342"/>
      <c r="C15" s="342"/>
      <c r="D15" s="342"/>
      <c r="E15" s="342"/>
      <c r="F15" s="342"/>
    </row>
    <row r="16" s="60" customFormat="true" ht="30" hidden="false" customHeight="true" outlineLevel="0" collapsed="false">
      <c r="A16" s="343" t="s">
        <v>773</v>
      </c>
      <c r="B16" s="343" t="s">
        <v>774</v>
      </c>
      <c r="C16" s="343" t="s">
        <v>1</v>
      </c>
      <c r="D16" s="343" t="s">
        <v>775</v>
      </c>
      <c r="E16" s="343" t="s">
        <v>776</v>
      </c>
      <c r="F16" s="343" t="s">
        <v>788</v>
      </c>
      <c r="G16" s="344"/>
      <c r="H16" s="344"/>
    </row>
    <row r="17" customFormat="false" ht="14.25" hidden="false" customHeight="true" outlineLevel="0" collapsed="false">
      <c r="A17" s="336" t="n">
        <v>1</v>
      </c>
      <c r="B17" s="337" t="s">
        <v>789</v>
      </c>
      <c r="C17" s="336" t="s">
        <v>1</v>
      </c>
      <c r="D17" s="336" t="n">
        <f aca="false">'Quadro Resumo'!E57+'Quadro Resumo'!F57+ (('Quadro Resumo'!G57+'Quadro Resumo'!H57)*2)</f>
        <v>99</v>
      </c>
      <c r="E17" s="345" t="n">
        <v>43.93</v>
      </c>
      <c r="F17" s="345" t="n">
        <f aca="false">((($E17*D17)*0.2))/12</f>
        <v>72.4845</v>
      </c>
    </row>
    <row r="18" customFormat="false" ht="14.25" hidden="false" customHeight="true" outlineLevel="0" collapsed="false">
      <c r="A18" s="336" t="n">
        <v>2</v>
      </c>
      <c r="B18" s="337" t="s">
        <v>790</v>
      </c>
      <c r="C18" s="336" t="s">
        <v>1</v>
      </c>
      <c r="D18" s="336" t="n">
        <f aca="false">'Quadro Resumo'!E57+'Quadro Resumo'!F57+ (('Quadro Resumo'!G57+'Quadro Resumo'!H57)*2)</f>
        <v>99</v>
      </c>
      <c r="E18" s="345" t="n">
        <v>84.68</v>
      </c>
      <c r="F18" s="345" t="n">
        <f aca="false">((($E18*D18)*0.2))/12</f>
        <v>139.722</v>
      </c>
    </row>
    <row r="19" customFormat="false" ht="14.25" hidden="false" customHeight="true" outlineLevel="0" collapsed="false">
      <c r="A19" s="336" t="n">
        <v>3</v>
      </c>
      <c r="B19" s="337" t="s">
        <v>791</v>
      </c>
      <c r="C19" s="336" t="s">
        <v>1</v>
      </c>
      <c r="D19" s="336" t="n">
        <f aca="false">'Quadro Resumo'!E57+'Quadro Resumo'!F57+ (('Quadro Resumo'!G57+'Quadro Resumo'!H57)*2)</f>
        <v>99</v>
      </c>
      <c r="E19" s="345" t="n">
        <v>28</v>
      </c>
      <c r="F19" s="345" t="n">
        <f aca="false">((($E19*D19)*0.2))/12</f>
        <v>46.2</v>
      </c>
    </row>
    <row r="20" customFormat="false" ht="14.25" hidden="false" customHeight="true" outlineLevel="0" collapsed="false">
      <c r="A20" s="336" t="n">
        <v>4</v>
      </c>
      <c r="B20" s="337" t="s">
        <v>792</v>
      </c>
      <c r="C20" s="336" t="s">
        <v>1</v>
      </c>
      <c r="D20" s="336" t="n">
        <f aca="false">'Quadro Resumo'!E57+'Quadro Resumo'!F57+ (('Quadro Resumo'!G57+'Quadro Resumo'!H57)*2)</f>
        <v>99</v>
      </c>
      <c r="E20" s="345" t="n">
        <v>14.9</v>
      </c>
      <c r="F20" s="345" t="n">
        <f aca="false">((($E20*D20)*0.2))/12</f>
        <v>24.585</v>
      </c>
    </row>
    <row r="21" customFormat="false" ht="14.25" hidden="false" customHeight="true" outlineLevel="0" collapsed="false">
      <c r="A21" s="336" t="n">
        <v>5</v>
      </c>
      <c r="B21" s="337" t="s">
        <v>793</v>
      </c>
      <c r="C21" s="336" t="s">
        <v>1</v>
      </c>
      <c r="D21" s="336" t="n">
        <f aca="false">'Quadro Resumo'!A57*3</f>
        <v>159</v>
      </c>
      <c r="E21" s="345" t="n">
        <v>23.55</v>
      </c>
      <c r="F21" s="345" t="n">
        <f aca="false">((($E21*D21)*0.2))/12</f>
        <v>62.4075</v>
      </c>
    </row>
    <row r="22" customFormat="false" ht="14.25" hidden="false" customHeight="true" outlineLevel="0" collapsed="false">
      <c r="A22" s="336" t="n">
        <v>6</v>
      </c>
      <c r="B22" s="337" t="s">
        <v>794</v>
      </c>
      <c r="C22" s="336" t="s">
        <v>1</v>
      </c>
      <c r="D22" s="336" t="n">
        <f aca="false">'Quadro Resumo'!A57</f>
        <v>53</v>
      </c>
      <c r="E22" s="345" t="n">
        <v>163.49</v>
      </c>
      <c r="F22" s="345" t="n">
        <f aca="false">((($E22*D22)*0.2))/12</f>
        <v>144.416166666667</v>
      </c>
    </row>
    <row r="23" customFormat="false" ht="14.25" hidden="false" customHeight="true" outlineLevel="0" collapsed="false">
      <c r="A23" s="336" t="n">
        <v>7</v>
      </c>
      <c r="B23" s="337" t="s">
        <v>795</v>
      </c>
      <c r="C23" s="336" t="s">
        <v>1</v>
      </c>
      <c r="D23" s="346" t="n">
        <f aca="false">'Quadro Resumo'!H57</f>
        <v>2</v>
      </c>
      <c r="E23" s="345" t="n">
        <v>67.5</v>
      </c>
      <c r="F23" s="345" t="n">
        <f aca="false">((($E23*D23)*0.2))/12</f>
        <v>2.25</v>
      </c>
    </row>
    <row r="24" customFormat="false" ht="14.25" hidden="false" customHeight="true" outlineLevel="0" collapsed="false">
      <c r="A24" s="336" t="n">
        <v>8</v>
      </c>
      <c r="B24" s="337" t="s">
        <v>796</v>
      </c>
      <c r="C24" s="336" t="s">
        <v>1</v>
      </c>
      <c r="D24" s="336" t="n">
        <f aca="false">'Quadro Resumo'!A57</f>
        <v>53</v>
      </c>
      <c r="E24" s="345" t="n">
        <v>16.95</v>
      </c>
      <c r="F24" s="345" t="n">
        <f aca="false">((($E24*D24)*0.2))/12</f>
        <v>14.9725</v>
      </c>
    </row>
    <row r="25" customFormat="false" ht="14.25" hidden="false" customHeight="true" outlineLevel="0" collapsed="false">
      <c r="A25" s="336" t="n">
        <v>9</v>
      </c>
      <c r="B25" s="337" t="s">
        <v>797</v>
      </c>
      <c r="C25" s="336" t="s">
        <v>1</v>
      </c>
      <c r="D25" s="336" t="n">
        <f aca="false">'Quadro Resumo'!A57</f>
        <v>53</v>
      </c>
      <c r="E25" s="345" t="n">
        <v>1709</v>
      </c>
      <c r="F25" s="345" t="n">
        <f aca="false">((($E25*D25)*0.1))/12</f>
        <v>754.808333333333</v>
      </c>
    </row>
    <row r="26" customFormat="false" ht="14.25" hidden="false" customHeight="true" outlineLevel="0" collapsed="false">
      <c r="A26" s="339" t="s">
        <v>798</v>
      </c>
      <c r="B26" s="339"/>
      <c r="C26" s="339"/>
      <c r="D26" s="339"/>
      <c r="E26" s="339"/>
      <c r="F26" s="341" t="n">
        <f aca="false">SUM(F17:F25)/('Quadro Resumo'!E57+'Quadro Resumo'!F57+'Quadro Resumo'!G57+'Quadro Resumo'!H57)</f>
        <v>13.7157173913044</v>
      </c>
    </row>
    <row r="27" customFormat="false" ht="14.25" hidden="false" customHeight="true" outlineLevel="0" collapsed="false">
      <c r="A27" s="347" t="s">
        <v>799</v>
      </c>
      <c r="B27" s="347"/>
      <c r="C27" s="347"/>
      <c r="D27" s="347"/>
      <c r="E27" s="347"/>
      <c r="F27" s="347"/>
    </row>
    <row r="28" customFormat="false" ht="14.25" hidden="false" customHeight="true" outlineLevel="0" collapsed="false">
      <c r="A28" s="348" t="s">
        <v>800</v>
      </c>
      <c r="B28" s="348"/>
      <c r="C28" s="348"/>
      <c r="D28" s="348"/>
      <c r="E28" s="348"/>
      <c r="F28" s="348"/>
    </row>
  </sheetData>
  <mergeCells count="9">
    <mergeCell ref="A1:F1"/>
    <mergeCell ref="A3:F3"/>
    <mergeCell ref="A11:E11"/>
    <mergeCell ref="A12:E12"/>
    <mergeCell ref="A15:F15"/>
    <mergeCell ref="G16:H16"/>
    <mergeCell ref="A26:E26"/>
    <mergeCell ref="A27:F27"/>
    <mergeCell ref="A28:F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D7D31"/>
    <pageSetUpPr fitToPage="false"/>
  </sheetPr>
  <dimension ref="A1:J58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D58" activeCellId="0" sqref="D58"/>
    </sheetView>
  </sheetViews>
  <sheetFormatPr defaultColWidth="8.72265625" defaultRowHeight="15" zeroHeight="false" outlineLevelRow="0" outlineLevelCol="0"/>
  <cols>
    <col collapsed="false" customWidth="false" hidden="false" outlineLevel="0" max="1" min="1" style="349" width="8.71"/>
    <col collapsed="false" customWidth="true" hidden="false" outlineLevel="0" max="2" min="2" style="349" width="37.14"/>
    <col collapsed="false" customWidth="true" hidden="false" outlineLevel="0" max="3" min="3" style="349" width="4.71"/>
    <col collapsed="false" customWidth="false" hidden="false" outlineLevel="0" max="4" min="4" style="349" width="8.71"/>
    <col collapsed="false" customWidth="true" hidden="false" outlineLevel="0" max="5" min="5" style="349" width="9.29"/>
    <col collapsed="false" customWidth="true" hidden="false" outlineLevel="0" max="6" min="6" style="350" width="15.86"/>
    <col collapsed="false" customWidth="true" hidden="false" outlineLevel="0" max="7" min="7" style="349" width="18.42"/>
    <col collapsed="false" customWidth="true" hidden="false" outlineLevel="0" max="8" min="8" style="349" width="17.14"/>
    <col collapsed="false" customWidth="false" hidden="false" outlineLevel="0" max="9" min="9" style="349" width="8.71"/>
    <col collapsed="false" customWidth="true" hidden="false" outlineLevel="0" max="10" min="10" style="349" width="10.85"/>
    <col collapsed="false" customWidth="false" hidden="false" outlineLevel="0" max="1024" min="11" style="349" width="8.71"/>
  </cols>
  <sheetData>
    <row r="1" customFormat="false" ht="27.75" hidden="false" customHeight="true" outlineLevel="0" collapsed="false">
      <c r="A1" s="2" t="s">
        <v>801</v>
      </c>
      <c r="B1" s="2"/>
      <c r="C1" s="2"/>
      <c r="D1" s="2"/>
      <c r="E1" s="2"/>
      <c r="F1" s="351"/>
      <c r="G1" s="332"/>
      <c r="H1" s="332"/>
    </row>
    <row r="2" customFormat="false" ht="14.25" hidden="false" customHeight="true" outlineLevel="0" collapsed="false">
      <c r="A2" s="3" t="s">
        <v>1</v>
      </c>
      <c r="B2" s="3"/>
      <c r="C2" s="4" t="s">
        <v>802</v>
      </c>
      <c r="D2" s="4"/>
      <c r="E2" s="4"/>
      <c r="F2" s="351"/>
      <c r="G2" s="332"/>
      <c r="H2" s="332"/>
    </row>
    <row r="3" customFormat="false" ht="27.75" hidden="false" customHeight="true" outlineLevel="0" collapsed="false">
      <c r="A3" s="334" t="s">
        <v>8</v>
      </c>
      <c r="B3" s="334" t="s">
        <v>9</v>
      </c>
      <c r="C3" s="343" t="s">
        <v>803</v>
      </c>
      <c r="D3" s="343" t="s">
        <v>804</v>
      </c>
      <c r="E3" s="343" t="s">
        <v>805</v>
      </c>
      <c r="F3" s="351"/>
      <c r="G3" s="332"/>
      <c r="H3" s="332"/>
    </row>
    <row r="4" customFormat="false" ht="14.25" hidden="false" customHeight="true" outlineLevel="0" collapsed="false">
      <c r="A4" s="352" t="s">
        <v>806</v>
      </c>
      <c r="B4" s="352"/>
      <c r="C4" s="352"/>
      <c r="D4" s="352"/>
      <c r="E4" s="353" t="n">
        <f aca="false">E58/D58</f>
        <v>3.54108695652174</v>
      </c>
      <c r="F4" s="351"/>
      <c r="G4" s="332"/>
      <c r="H4" s="332"/>
    </row>
    <row r="5" customFormat="false" ht="14.25" hidden="false" customHeight="true" outlineLevel="0" collapsed="false">
      <c r="A5" s="354" t="n">
        <v>1</v>
      </c>
      <c r="B5" s="355" t="s">
        <v>20</v>
      </c>
      <c r="C5" s="356" t="n">
        <v>5.5</v>
      </c>
      <c r="D5" s="356" t="n">
        <f aca="false">'Quadro Resumo'!E4+'Quadro Resumo'!F4+('Quadro Resumo'!G4+'Quadro Resumo'!H4)*2</f>
        <v>2</v>
      </c>
      <c r="E5" s="356" t="n">
        <f aca="false">C5*D5</f>
        <v>11</v>
      </c>
      <c r="G5" s="351"/>
      <c r="H5" s="332"/>
    </row>
    <row r="6" customFormat="false" ht="14.25" hidden="false" customHeight="true" outlineLevel="0" collapsed="false">
      <c r="A6" s="357" t="n">
        <v>2</v>
      </c>
      <c r="B6" s="358" t="s">
        <v>22</v>
      </c>
      <c r="C6" s="356" t="n">
        <v>3.4</v>
      </c>
      <c r="D6" s="356" t="n">
        <f aca="false">'Quadro Resumo'!E5+'Quadro Resumo'!F5+('Quadro Resumo'!G5+'Quadro Resumo'!H5)*2</f>
        <v>2</v>
      </c>
      <c r="E6" s="356" t="n">
        <f aca="false">C6*D6</f>
        <v>6.8</v>
      </c>
      <c r="G6" s="351"/>
      <c r="H6" s="332"/>
    </row>
    <row r="7" customFormat="false" ht="14.25" hidden="false" customHeight="true" outlineLevel="0" collapsed="false">
      <c r="A7" s="357" t="n">
        <v>3</v>
      </c>
      <c r="B7" s="358" t="s">
        <v>23</v>
      </c>
      <c r="C7" s="356"/>
      <c r="D7" s="356" t="n">
        <f aca="false">'Quadro Resumo'!E6+'Quadro Resumo'!F6+('Quadro Resumo'!G6+'Quadro Resumo'!H6)*2</f>
        <v>1</v>
      </c>
      <c r="E7" s="356" t="n">
        <f aca="false">C7*D7</f>
        <v>0</v>
      </c>
      <c r="G7" s="351"/>
      <c r="H7" s="332"/>
    </row>
    <row r="8" customFormat="false" ht="14.25" hidden="false" customHeight="true" outlineLevel="0" collapsed="false">
      <c r="A8" s="357" t="n">
        <v>4</v>
      </c>
      <c r="B8" s="358" t="s">
        <v>24</v>
      </c>
      <c r="C8" s="356" t="n">
        <v>5.5</v>
      </c>
      <c r="D8" s="356" t="n">
        <f aca="false">'Quadro Resumo'!E7+'Quadro Resumo'!F7+('Quadro Resumo'!G7+'Quadro Resumo'!H7)*2</f>
        <v>2</v>
      </c>
      <c r="E8" s="356" t="n">
        <f aca="false">C8*D8</f>
        <v>11</v>
      </c>
      <c r="G8" s="351"/>
      <c r="H8" s="332"/>
    </row>
    <row r="9" customFormat="false" ht="14.25" hidden="false" customHeight="true" outlineLevel="0" collapsed="false">
      <c r="A9" s="357" t="n">
        <v>5</v>
      </c>
      <c r="B9" s="358" t="s">
        <v>26</v>
      </c>
      <c r="C9" s="356" t="n">
        <v>3.5</v>
      </c>
      <c r="D9" s="356" t="n">
        <f aca="false">'Quadro Resumo'!E8+'Quadro Resumo'!F8+('Quadro Resumo'!G8+'Quadro Resumo'!H8)*2</f>
        <v>2</v>
      </c>
      <c r="E9" s="356" t="n">
        <f aca="false">C9*D9</f>
        <v>7</v>
      </c>
      <c r="G9" s="351"/>
      <c r="H9" s="332"/>
    </row>
    <row r="10" customFormat="false" ht="14.25" hidden="false" customHeight="true" outlineLevel="0" collapsed="false">
      <c r="A10" s="357" t="n">
        <v>6</v>
      </c>
      <c r="B10" s="358" t="s">
        <v>27</v>
      </c>
      <c r="C10" s="356"/>
      <c r="D10" s="356" t="n">
        <f aca="false">'Quadro Resumo'!E9+'Quadro Resumo'!F9+('Quadro Resumo'!G9+'Quadro Resumo'!H9)*2</f>
        <v>2</v>
      </c>
      <c r="E10" s="356" t="n">
        <f aca="false">C10*D10</f>
        <v>0</v>
      </c>
      <c r="G10" s="351"/>
      <c r="H10" s="332"/>
    </row>
    <row r="11" customFormat="false" ht="14.25" hidden="false" customHeight="true" outlineLevel="0" collapsed="false">
      <c r="A11" s="357" t="n">
        <v>7</v>
      </c>
      <c r="B11" s="358" t="s">
        <v>28</v>
      </c>
      <c r="C11" s="356" t="n">
        <v>3.4</v>
      </c>
      <c r="D11" s="356" t="n">
        <f aca="false">'Quadro Resumo'!E10+'Quadro Resumo'!F10+('Quadro Resumo'!G10+'Quadro Resumo'!H10)*2</f>
        <v>2</v>
      </c>
      <c r="E11" s="356" t="n">
        <f aca="false">C11*D11</f>
        <v>6.8</v>
      </c>
      <c r="G11" s="351"/>
      <c r="H11" s="332"/>
    </row>
    <row r="12" customFormat="false" ht="14.25" hidden="false" customHeight="true" outlineLevel="0" collapsed="false">
      <c r="A12" s="357" t="n">
        <v>8</v>
      </c>
      <c r="B12" s="358" t="s">
        <v>29</v>
      </c>
      <c r="C12" s="356"/>
      <c r="D12" s="356" t="n">
        <f aca="false">'Quadro Resumo'!E11+'Quadro Resumo'!F11+('Quadro Resumo'!G11+'Quadro Resumo'!H11)*2</f>
        <v>1</v>
      </c>
      <c r="E12" s="356" t="n">
        <f aca="false">C12*D12</f>
        <v>0</v>
      </c>
      <c r="G12" s="351"/>
      <c r="H12" s="332"/>
    </row>
    <row r="13" customFormat="false" ht="14.25" hidden="false" customHeight="true" outlineLevel="0" collapsed="false">
      <c r="A13" s="357" t="n">
        <v>9</v>
      </c>
      <c r="B13" s="358" t="s">
        <v>429</v>
      </c>
      <c r="C13" s="356" t="n">
        <v>4.2</v>
      </c>
      <c r="D13" s="356" t="n">
        <f aca="false">'Quadro Resumo'!E12+'Quadro Resumo'!F12+('Quadro Resumo'!G12+'Quadro Resumo'!H12)*2</f>
        <v>1</v>
      </c>
      <c r="E13" s="356" t="n">
        <f aca="false">C13*D13</f>
        <v>4.2</v>
      </c>
      <c r="G13" s="351"/>
      <c r="H13" s="332"/>
    </row>
    <row r="14" customFormat="false" ht="14.25" hidden="false" customHeight="true" outlineLevel="0" collapsed="false">
      <c r="A14" s="357" t="n">
        <v>10</v>
      </c>
      <c r="B14" s="358" t="s">
        <v>31</v>
      </c>
      <c r="C14" s="356" t="n">
        <v>5.5</v>
      </c>
      <c r="D14" s="356" t="n">
        <f aca="false">'Quadro Resumo'!E13+'Quadro Resumo'!F13+('Quadro Resumo'!G13+'Quadro Resumo'!H13)*2</f>
        <v>5</v>
      </c>
      <c r="E14" s="356" t="n">
        <f aca="false">C14*D14</f>
        <v>27.5</v>
      </c>
      <c r="G14" s="351"/>
      <c r="H14" s="332"/>
    </row>
    <row r="15" customFormat="false" ht="14.25" hidden="false" customHeight="true" outlineLevel="0" collapsed="false">
      <c r="A15" s="357" t="n">
        <v>11</v>
      </c>
      <c r="B15" s="358" t="s">
        <v>32</v>
      </c>
      <c r="C15" s="356" t="n">
        <v>4.25</v>
      </c>
      <c r="D15" s="356" t="n">
        <f aca="false">'Quadro Resumo'!E14+'Quadro Resumo'!F14+('Quadro Resumo'!G14+'Quadro Resumo'!H14)*2</f>
        <v>1</v>
      </c>
      <c r="E15" s="356" t="n">
        <f aca="false">C15*D15</f>
        <v>4.25</v>
      </c>
      <c r="G15" s="351"/>
      <c r="H15" s="332"/>
    </row>
    <row r="16" customFormat="false" ht="14.25" hidden="false" customHeight="true" outlineLevel="0" collapsed="false">
      <c r="A16" s="357" t="n">
        <v>12</v>
      </c>
      <c r="B16" s="358" t="s">
        <v>33</v>
      </c>
      <c r="C16" s="356"/>
      <c r="D16" s="356" t="n">
        <f aca="false">'Quadro Resumo'!E15+'Quadro Resumo'!F15+('Quadro Resumo'!G15+'Quadro Resumo'!H15)*2</f>
        <v>1</v>
      </c>
      <c r="E16" s="356" t="n">
        <f aca="false">C16*D16</f>
        <v>0</v>
      </c>
      <c r="G16" s="351"/>
      <c r="H16" s="332"/>
    </row>
    <row r="17" customFormat="false" ht="14.25" hidden="false" customHeight="true" outlineLevel="0" collapsed="false">
      <c r="A17" s="357" t="n">
        <v>13</v>
      </c>
      <c r="B17" s="358" t="s">
        <v>34</v>
      </c>
      <c r="C17" s="356" t="n">
        <v>3.3</v>
      </c>
      <c r="D17" s="356" t="n">
        <f aca="false">'Quadro Resumo'!E16+'Quadro Resumo'!F16+('Quadro Resumo'!G16+'Quadro Resumo'!H16)*2</f>
        <v>2</v>
      </c>
      <c r="E17" s="356" t="n">
        <f aca="false">C17*D17</f>
        <v>6.6</v>
      </c>
      <c r="G17" s="351"/>
      <c r="H17" s="332"/>
    </row>
    <row r="18" customFormat="false" ht="14.25" hidden="false" customHeight="true" outlineLevel="0" collapsed="false">
      <c r="A18" s="354" t="n">
        <v>14</v>
      </c>
      <c r="B18" s="355" t="s">
        <v>35</v>
      </c>
      <c r="C18" s="359" t="n">
        <v>4.25</v>
      </c>
      <c r="D18" s="356" t="n">
        <f aca="false">'Quadro Resumo'!E17+'Quadro Resumo'!F17+('Quadro Resumo'!G17+'Quadro Resumo'!H17)*2</f>
        <v>4</v>
      </c>
      <c r="E18" s="356" t="n">
        <f aca="false">C18*D18</f>
        <v>17</v>
      </c>
      <c r="G18" s="351"/>
      <c r="H18" s="332"/>
    </row>
    <row r="19" customFormat="false" ht="14.25" hidden="false" customHeight="true" outlineLevel="0" collapsed="false">
      <c r="A19" s="357" t="n">
        <v>15</v>
      </c>
      <c r="B19" s="358" t="s">
        <v>36</v>
      </c>
      <c r="C19" s="359"/>
      <c r="D19" s="356" t="n">
        <f aca="false">'Quadro Resumo'!E18+'Quadro Resumo'!F18+('Quadro Resumo'!G18+'Quadro Resumo'!H18)*2</f>
        <v>2</v>
      </c>
      <c r="E19" s="356" t="n">
        <f aca="false">C19*D19</f>
        <v>0</v>
      </c>
      <c r="G19" s="351"/>
      <c r="H19" s="332"/>
    </row>
    <row r="20" customFormat="false" ht="14.25" hidden="false" customHeight="true" outlineLevel="0" collapsed="false">
      <c r="A20" s="357" t="n">
        <v>16</v>
      </c>
      <c r="B20" s="358" t="s">
        <v>37</v>
      </c>
      <c r="C20" s="359" t="n">
        <v>3.6</v>
      </c>
      <c r="D20" s="356" t="n">
        <f aca="false">'Quadro Resumo'!E19+'Quadro Resumo'!F19+('Quadro Resumo'!G19+'Quadro Resumo'!H19)*2</f>
        <v>2</v>
      </c>
      <c r="E20" s="356" t="n">
        <f aca="false">C20*D20</f>
        <v>7.2</v>
      </c>
      <c r="G20" s="360"/>
      <c r="H20" s="361"/>
      <c r="I20" s="361"/>
    </row>
    <row r="21" customFormat="false" ht="14.25" hidden="false" customHeight="true" outlineLevel="0" collapsed="false">
      <c r="A21" s="357" t="n">
        <v>17</v>
      </c>
      <c r="B21" s="358" t="s">
        <v>38</v>
      </c>
      <c r="C21" s="359"/>
      <c r="D21" s="356" t="n">
        <f aca="false">'Quadro Resumo'!E20+'Quadro Resumo'!F20+('Quadro Resumo'!G20+'Quadro Resumo'!H20)*2</f>
        <v>2</v>
      </c>
      <c r="E21" s="356" t="n">
        <f aca="false">C21*D21</f>
        <v>0</v>
      </c>
      <c r="G21" s="351"/>
      <c r="H21" s="332"/>
    </row>
    <row r="22" customFormat="false" ht="14.25" hidden="false" customHeight="true" outlineLevel="0" collapsed="false">
      <c r="A22" s="357" t="n">
        <v>18</v>
      </c>
      <c r="B22" s="358" t="s">
        <v>39</v>
      </c>
      <c r="C22" s="359"/>
      <c r="D22" s="356" t="n">
        <f aca="false">'Quadro Resumo'!E21+'Quadro Resumo'!F21+('Quadro Resumo'!G21+'Quadro Resumo'!H21)*2</f>
        <v>2</v>
      </c>
      <c r="E22" s="356" t="n">
        <f aca="false">C22*D22</f>
        <v>0</v>
      </c>
      <c r="G22" s="351"/>
      <c r="H22" s="332"/>
    </row>
    <row r="23" customFormat="false" ht="14.25" hidden="false" customHeight="true" outlineLevel="0" collapsed="false">
      <c r="A23" s="357" t="n">
        <v>19</v>
      </c>
      <c r="B23" s="358" t="s">
        <v>40</v>
      </c>
      <c r="C23" s="359" t="n">
        <v>2.85</v>
      </c>
      <c r="D23" s="356" t="n">
        <f aca="false">'Quadro Resumo'!E22+'Quadro Resumo'!F22+('Quadro Resumo'!G22+'Quadro Resumo'!H22)*2</f>
        <v>1</v>
      </c>
      <c r="E23" s="356" t="n">
        <f aca="false">C23*D23</f>
        <v>2.85</v>
      </c>
      <c r="G23" s="360"/>
      <c r="H23" s="332"/>
    </row>
    <row r="24" customFormat="false" ht="14.25" hidden="false" customHeight="true" outlineLevel="0" collapsed="false">
      <c r="A24" s="357" t="n">
        <v>20</v>
      </c>
      <c r="B24" s="358" t="s">
        <v>41</v>
      </c>
      <c r="C24" s="359" t="n">
        <v>3.18</v>
      </c>
      <c r="D24" s="356" t="n">
        <f aca="false">'Quadro Resumo'!E23+'Quadro Resumo'!F23+('Quadro Resumo'!G23+'Quadro Resumo'!H23)*2</f>
        <v>1</v>
      </c>
      <c r="E24" s="356" t="n">
        <f aca="false">C24*D24</f>
        <v>3.18</v>
      </c>
      <c r="G24" s="351"/>
      <c r="H24" s="332"/>
    </row>
    <row r="25" customFormat="false" ht="14.25" hidden="false" customHeight="true" outlineLevel="0" collapsed="false">
      <c r="A25" s="357" t="n">
        <v>21</v>
      </c>
      <c r="B25" s="358" t="s">
        <v>42</v>
      </c>
      <c r="C25" s="359" t="n">
        <v>4.25</v>
      </c>
      <c r="D25" s="356" t="n">
        <f aca="false">'Quadro Resumo'!E24+'Quadro Resumo'!F24+('Quadro Resumo'!G24+'Quadro Resumo'!H24)*2</f>
        <v>2</v>
      </c>
      <c r="E25" s="356" t="n">
        <f aca="false">C25*D25</f>
        <v>8.5</v>
      </c>
      <c r="F25" s="351"/>
      <c r="G25" s="351"/>
      <c r="H25" s="362"/>
    </row>
    <row r="26" customFormat="false" ht="14.25" hidden="false" customHeight="true" outlineLevel="0" collapsed="false">
      <c r="A26" s="357" t="n">
        <v>22</v>
      </c>
      <c r="B26" s="358" t="s">
        <v>43</v>
      </c>
      <c r="C26" s="359" t="n">
        <v>3</v>
      </c>
      <c r="D26" s="356" t="n">
        <f aca="false">'Quadro Resumo'!E25+'Quadro Resumo'!F25+('Quadro Resumo'!G25+'Quadro Resumo'!H25)*2</f>
        <v>2</v>
      </c>
      <c r="E26" s="356" t="n">
        <f aca="false">C26*D26</f>
        <v>6</v>
      </c>
      <c r="F26" s="351"/>
      <c r="G26" s="351"/>
      <c r="H26" s="332"/>
    </row>
    <row r="27" customFormat="false" ht="14.25" hidden="false" customHeight="true" outlineLevel="0" collapsed="false">
      <c r="A27" s="357" t="n">
        <v>23</v>
      </c>
      <c r="B27" s="358" t="s">
        <v>44</v>
      </c>
      <c r="C27" s="359" t="n">
        <v>4.5</v>
      </c>
      <c r="D27" s="356" t="n">
        <f aca="false">'Quadro Resumo'!E26+'Quadro Resumo'!F26+('Quadro Resumo'!G26+'Quadro Resumo'!H26)*2</f>
        <v>2</v>
      </c>
      <c r="E27" s="356" t="n">
        <f aca="false">C27*D27</f>
        <v>9</v>
      </c>
      <c r="F27" s="351"/>
      <c r="G27" s="351"/>
      <c r="H27" s="332"/>
    </row>
    <row r="28" customFormat="false" ht="14.25" hidden="false" customHeight="true" outlineLevel="0" collapsed="false">
      <c r="A28" s="357" t="n">
        <v>24</v>
      </c>
      <c r="B28" s="358" t="s">
        <v>45</v>
      </c>
      <c r="C28" s="359"/>
      <c r="D28" s="356" t="n">
        <f aca="false">'Quadro Resumo'!E27+'Quadro Resumo'!F27+('Quadro Resumo'!G27+'Quadro Resumo'!H27)*2</f>
        <v>1</v>
      </c>
      <c r="E28" s="356" t="n">
        <f aca="false">C28*D28</f>
        <v>0</v>
      </c>
      <c r="F28" s="351"/>
      <c r="G28" s="351"/>
      <c r="H28" s="332"/>
    </row>
    <row r="29" customFormat="false" ht="14.25" hidden="false" customHeight="true" outlineLevel="0" collapsed="false">
      <c r="A29" s="357" t="n">
        <v>25</v>
      </c>
      <c r="B29" s="358" t="s">
        <v>46</v>
      </c>
      <c r="C29" s="359" t="n">
        <v>4.75</v>
      </c>
      <c r="D29" s="356" t="n">
        <f aca="false">'Quadro Resumo'!E28+'Quadro Resumo'!F28+('Quadro Resumo'!G28+'Quadro Resumo'!H28)*2</f>
        <v>5</v>
      </c>
      <c r="E29" s="356" t="n">
        <f aca="false">C29*D29</f>
        <v>23.75</v>
      </c>
      <c r="F29" s="351"/>
      <c r="G29" s="351"/>
      <c r="H29" s="332"/>
    </row>
    <row r="30" customFormat="false" ht="14.25" hidden="false" customHeight="true" outlineLevel="0" collapsed="false">
      <c r="A30" s="357" t="n">
        <v>26</v>
      </c>
      <c r="B30" s="358" t="s">
        <v>48</v>
      </c>
      <c r="C30" s="359" t="n">
        <v>4.5</v>
      </c>
      <c r="D30" s="356" t="n">
        <f aca="false">'Quadro Resumo'!E29+'Quadro Resumo'!F29+('Quadro Resumo'!G29+'Quadro Resumo'!H29)*2</f>
        <v>2</v>
      </c>
      <c r="E30" s="356" t="n">
        <f aca="false">C30*D30</f>
        <v>9</v>
      </c>
      <c r="F30" s="351"/>
      <c r="G30" s="351"/>
      <c r="H30" s="332"/>
    </row>
    <row r="31" customFormat="false" ht="14.25" hidden="false" customHeight="true" outlineLevel="0" collapsed="false">
      <c r="A31" s="357" t="n">
        <v>27</v>
      </c>
      <c r="B31" s="358" t="s">
        <v>49</v>
      </c>
      <c r="C31" s="359" t="n">
        <v>3.75</v>
      </c>
      <c r="D31" s="356" t="n">
        <f aca="false">'Quadro Resumo'!E30+'Quadro Resumo'!F30+('Quadro Resumo'!G30+'Quadro Resumo'!H30)*2</f>
        <v>2</v>
      </c>
      <c r="E31" s="356" t="n">
        <f aca="false">C31*D31</f>
        <v>7.5</v>
      </c>
      <c r="F31" s="351"/>
      <c r="G31" s="351"/>
      <c r="H31" s="332"/>
    </row>
    <row r="32" customFormat="false" ht="14.25" hidden="false" customHeight="true" outlineLevel="0" collapsed="false">
      <c r="A32" s="357" t="n">
        <v>28</v>
      </c>
      <c r="B32" s="358" t="s">
        <v>50</v>
      </c>
      <c r="C32" s="359"/>
      <c r="D32" s="356" t="n">
        <f aca="false">'Quadro Resumo'!E31+'Quadro Resumo'!F31+('Quadro Resumo'!G31+'Quadro Resumo'!H31)*2</f>
        <v>2</v>
      </c>
      <c r="E32" s="356" t="n">
        <f aca="false">C32*D32</f>
        <v>0</v>
      </c>
      <c r="F32" s="351"/>
      <c r="G32" s="351"/>
      <c r="H32" s="332"/>
    </row>
    <row r="33" customFormat="false" ht="14.25" hidden="false" customHeight="true" outlineLevel="0" collapsed="false">
      <c r="A33" s="357" t="n">
        <v>29</v>
      </c>
      <c r="B33" s="358" t="s">
        <v>51</v>
      </c>
      <c r="C33" s="359" t="n">
        <v>5</v>
      </c>
      <c r="D33" s="356" t="n">
        <f aca="false">'Quadro Resumo'!E32+'Quadro Resumo'!F32+('Quadro Resumo'!G32+'Quadro Resumo'!H32)*2</f>
        <v>2</v>
      </c>
      <c r="E33" s="356" t="n">
        <f aca="false">C33*D33</f>
        <v>10</v>
      </c>
      <c r="F33" s="351"/>
      <c r="G33" s="351"/>
      <c r="H33" s="332"/>
    </row>
    <row r="34" customFormat="false" ht="14.25" hidden="false" customHeight="true" outlineLevel="0" collapsed="false">
      <c r="A34" s="354" t="n">
        <v>30</v>
      </c>
      <c r="B34" s="355" t="s">
        <v>52</v>
      </c>
      <c r="C34" s="359" t="n">
        <v>5</v>
      </c>
      <c r="D34" s="356" t="n">
        <f aca="false">'Quadro Resumo'!E33+'Quadro Resumo'!F33+('Quadro Resumo'!G33+'Quadro Resumo'!H33)*2</f>
        <v>2</v>
      </c>
      <c r="E34" s="356" t="n">
        <f aca="false">C34*D34</f>
        <v>10</v>
      </c>
      <c r="F34" s="351"/>
      <c r="G34" s="363"/>
      <c r="H34" s="332"/>
    </row>
    <row r="35" customFormat="false" ht="14.25" hidden="false" customHeight="true" outlineLevel="0" collapsed="false">
      <c r="A35" s="357" t="n">
        <v>31</v>
      </c>
      <c r="B35" s="358" t="s">
        <v>53</v>
      </c>
      <c r="C35" s="359" t="n">
        <v>4</v>
      </c>
      <c r="D35" s="356" t="n">
        <f aca="false">'Quadro Resumo'!E34+'Quadro Resumo'!F34+('Quadro Resumo'!G34+'Quadro Resumo'!H34)*2</f>
        <v>1</v>
      </c>
      <c r="E35" s="356" t="n">
        <f aca="false">C35*D35</f>
        <v>4</v>
      </c>
      <c r="F35" s="351"/>
      <c r="G35" s="363"/>
      <c r="H35" s="332"/>
    </row>
    <row r="36" customFormat="false" ht="14.25" hidden="false" customHeight="true" outlineLevel="0" collapsed="false">
      <c r="A36" s="357" t="n">
        <v>32</v>
      </c>
      <c r="B36" s="358" t="s">
        <v>54</v>
      </c>
      <c r="C36" s="359" t="s">
        <v>807</v>
      </c>
      <c r="D36" s="356" t="n">
        <f aca="false">'Quadro Resumo'!E35+'Quadro Resumo'!F35+('Quadro Resumo'!G35+'Quadro Resumo'!H35)*2</f>
        <v>1</v>
      </c>
      <c r="E36" s="356" t="n">
        <f aca="false">C36*D36</f>
        <v>4</v>
      </c>
      <c r="F36" s="351"/>
      <c r="G36" s="363"/>
      <c r="H36" s="332"/>
    </row>
    <row r="37" customFormat="false" ht="14.25" hidden="false" customHeight="true" outlineLevel="0" collapsed="false">
      <c r="A37" s="357" t="n">
        <v>33</v>
      </c>
      <c r="B37" s="358" t="s">
        <v>55</v>
      </c>
      <c r="C37" s="359" t="s">
        <v>808</v>
      </c>
      <c r="D37" s="356" t="n">
        <f aca="false">'Quadro Resumo'!E36+'Quadro Resumo'!F36+('Quadro Resumo'!G36+'Quadro Resumo'!H36)*2</f>
        <v>2</v>
      </c>
      <c r="E37" s="356" t="n">
        <f aca="false">C37*D37</f>
        <v>7.4</v>
      </c>
      <c r="F37" s="351"/>
      <c r="G37" s="363"/>
      <c r="H37" s="332"/>
    </row>
    <row r="38" customFormat="false" ht="14.25" hidden="false" customHeight="true" outlineLevel="0" collapsed="false">
      <c r="A38" s="357" t="n">
        <v>34</v>
      </c>
      <c r="B38" s="358" t="s">
        <v>56</v>
      </c>
      <c r="C38" s="359" t="s">
        <v>809</v>
      </c>
      <c r="D38" s="356" t="n">
        <f aca="false">'Quadro Resumo'!E37+'Quadro Resumo'!F37+('Quadro Resumo'!G37+'Quadro Resumo'!H37)*2</f>
        <v>1</v>
      </c>
      <c r="E38" s="356" t="n">
        <f aca="false">C38*D38</f>
        <v>3.2</v>
      </c>
      <c r="F38" s="351"/>
      <c r="G38" s="363"/>
      <c r="H38" s="332"/>
    </row>
    <row r="39" customFormat="false" ht="14.25" hidden="false" customHeight="true" outlineLevel="0" collapsed="false">
      <c r="A39" s="357" t="n">
        <v>35</v>
      </c>
      <c r="B39" s="358" t="s">
        <v>57</v>
      </c>
      <c r="C39" s="359" t="s">
        <v>810</v>
      </c>
      <c r="D39" s="356" t="n">
        <f aca="false">'Quadro Resumo'!E38+'Quadro Resumo'!F38+('Quadro Resumo'!G38+'Quadro Resumo'!H38)*2</f>
        <v>1</v>
      </c>
      <c r="E39" s="356" t="n">
        <f aca="false">C39*D39</f>
        <v>2.95</v>
      </c>
      <c r="F39" s="351"/>
      <c r="G39" s="363"/>
      <c r="H39" s="332"/>
    </row>
    <row r="40" customFormat="false" ht="14.25" hidden="false" customHeight="true" outlineLevel="0" collapsed="false">
      <c r="A40" s="357" t="n">
        <v>36</v>
      </c>
      <c r="B40" s="358" t="s">
        <v>58</v>
      </c>
      <c r="C40" s="359" t="s">
        <v>809</v>
      </c>
      <c r="D40" s="356" t="n">
        <f aca="false">'Quadro Resumo'!E39+'Quadro Resumo'!F39+('Quadro Resumo'!G39+'Quadro Resumo'!H39)*2</f>
        <v>0</v>
      </c>
      <c r="E40" s="356" t="n">
        <f aca="false">C40*D40</f>
        <v>0</v>
      </c>
      <c r="F40" s="351"/>
      <c r="G40" s="363"/>
      <c r="H40" s="332"/>
      <c r="J40" s="364"/>
    </row>
    <row r="41" customFormat="false" ht="14.25" hidden="false" customHeight="true" outlineLevel="0" collapsed="false">
      <c r="A41" s="357" t="n">
        <v>37</v>
      </c>
      <c r="B41" s="358" t="s">
        <v>59</v>
      </c>
      <c r="C41" s="359" t="s">
        <v>811</v>
      </c>
      <c r="D41" s="356" t="n">
        <f aca="false">'Quadro Resumo'!E40+'Quadro Resumo'!F40+('Quadro Resumo'!G40+'Quadro Resumo'!H40)*2</f>
        <v>2</v>
      </c>
      <c r="E41" s="356" t="n">
        <f aca="false">C41*D41</f>
        <v>5.5</v>
      </c>
      <c r="F41" s="351"/>
      <c r="G41" s="365"/>
      <c r="H41" s="332"/>
    </row>
    <row r="42" customFormat="false" ht="14.25" hidden="false" customHeight="true" outlineLevel="0" collapsed="false">
      <c r="A42" s="357" t="n">
        <v>38</v>
      </c>
      <c r="B42" s="358" t="s">
        <v>60</v>
      </c>
      <c r="C42" s="359" t="s">
        <v>812</v>
      </c>
      <c r="D42" s="356" t="n">
        <f aca="false">'Quadro Resumo'!E41+'Quadro Resumo'!F41+('Quadro Resumo'!G41+'Quadro Resumo'!H41)*2</f>
        <v>2</v>
      </c>
      <c r="E42" s="356" t="n">
        <f aca="false">C42*D42</f>
        <v>8.9</v>
      </c>
      <c r="F42" s="351"/>
      <c r="G42" s="351"/>
      <c r="H42" s="332"/>
    </row>
    <row r="43" customFormat="false" ht="14.25" hidden="false" customHeight="true" outlineLevel="0" collapsed="false">
      <c r="A43" s="357" t="n">
        <v>39</v>
      </c>
      <c r="B43" s="358" t="s">
        <v>62</v>
      </c>
      <c r="C43" s="359" t="s">
        <v>813</v>
      </c>
      <c r="D43" s="356" t="n">
        <f aca="false">'Quadro Resumo'!E42+'Quadro Resumo'!F42+('Quadro Resumo'!G42+'Quadro Resumo'!H42)*2</f>
        <v>4</v>
      </c>
      <c r="E43" s="356" t="n">
        <f aca="false">C43*D43</f>
        <v>20</v>
      </c>
      <c r="F43" s="351"/>
      <c r="G43" s="363"/>
      <c r="H43" s="332"/>
    </row>
    <row r="44" customFormat="false" ht="14.25" hidden="false" customHeight="true" outlineLevel="0" collapsed="false">
      <c r="A44" s="357" t="n">
        <v>40</v>
      </c>
      <c r="B44" s="358" t="s">
        <v>63</v>
      </c>
      <c r="C44" s="359" t="s">
        <v>807</v>
      </c>
      <c r="D44" s="356" t="n">
        <f aca="false">'Quadro Resumo'!E43+'Quadro Resumo'!F43+('Quadro Resumo'!G43+'Quadro Resumo'!H43)*2</f>
        <v>2</v>
      </c>
      <c r="E44" s="356" t="n">
        <f aca="false">C44*D44</f>
        <v>8</v>
      </c>
      <c r="F44" s="351"/>
      <c r="G44" s="363"/>
      <c r="H44" s="332"/>
    </row>
    <row r="45" customFormat="false" ht="14.25" hidden="false" customHeight="true" outlineLevel="0" collapsed="false">
      <c r="A45" s="357" t="n">
        <v>41</v>
      </c>
      <c r="B45" s="358" t="s">
        <v>64</v>
      </c>
      <c r="C45" s="359" t="s">
        <v>814</v>
      </c>
      <c r="D45" s="356" t="n">
        <f aca="false">'Quadro Resumo'!E44+'Quadro Resumo'!F44+('Quadro Resumo'!G44+'Quadro Resumo'!H44)*2</f>
        <v>1</v>
      </c>
      <c r="E45" s="356" t="n">
        <f aca="false">C45*D45</f>
        <v>3.4</v>
      </c>
      <c r="F45" s="351"/>
      <c r="G45" s="363"/>
      <c r="H45" s="332"/>
    </row>
    <row r="46" customFormat="false" ht="14.25" hidden="false" customHeight="true" outlineLevel="0" collapsed="false">
      <c r="A46" s="357" t="n">
        <v>42</v>
      </c>
      <c r="B46" s="358" t="s">
        <v>65</v>
      </c>
      <c r="C46" s="359" t="s">
        <v>815</v>
      </c>
      <c r="D46" s="356" t="n">
        <f aca="false">'Quadro Resumo'!E45+'Quadro Resumo'!F45+('Quadro Resumo'!G45+'Quadro Resumo'!H45)*2</f>
        <v>1</v>
      </c>
      <c r="E46" s="356" t="n">
        <f aca="false">C46*D46</f>
        <v>3.9</v>
      </c>
      <c r="F46" s="351"/>
      <c r="G46" s="363"/>
      <c r="H46" s="332"/>
    </row>
    <row r="47" customFormat="false" ht="14.25" hidden="false" customHeight="true" outlineLevel="0" collapsed="false">
      <c r="A47" s="357" t="n">
        <v>43</v>
      </c>
      <c r="B47" s="358" t="s">
        <v>66</v>
      </c>
      <c r="C47" s="359" t="s">
        <v>816</v>
      </c>
      <c r="D47" s="356" t="n">
        <f aca="false">'Quadro Resumo'!E46+'Quadro Resumo'!F46+('Quadro Resumo'!G46+'Quadro Resumo'!H46)*2</f>
        <v>2</v>
      </c>
      <c r="E47" s="356" t="n">
        <f aca="false">C47*D47</f>
        <v>11</v>
      </c>
      <c r="F47" s="351"/>
      <c r="G47" s="363"/>
      <c r="H47" s="332"/>
    </row>
    <row r="48" customFormat="false" ht="14.25" hidden="false" customHeight="true" outlineLevel="0" collapsed="false">
      <c r="A48" s="354" t="n">
        <v>44</v>
      </c>
      <c r="B48" s="355" t="s">
        <v>67</v>
      </c>
      <c r="C48" s="359" t="n">
        <v>4.75</v>
      </c>
      <c r="D48" s="356" t="n">
        <f aca="false">'Quadro Resumo'!E47+'Quadro Resumo'!F47+('Quadro Resumo'!G47+'Quadro Resumo'!H47)*2</f>
        <v>2</v>
      </c>
      <c r="E48" s="356" t="n">
        <f aca="false">C48*D48</f>
        <v>9.5</v>
      </c>
      <c r="F48" s="351"/>
      <c r="G48" s="366"/>
      <c r="H48" s="332"/>
    </row>
    <row r="49" customFormat="false" ht="14.25" hidden="false" customHeight="true" outlineLevel="0" collapsed="false">
      <c r="A49" s="357" t="n">
        <v>45</v>
      </c>
      <c r="B49" s="358" t="s">
        <v>68</v>
      </c>
      <c r="C49" s="359" t="n">
        <v>4.8</v>
      </c>
      <c r="D49" s="356" t="n">
        <f aca="false">'Quadro Resumo'!E48+'Quadro Resumo'!F48+('Quadro Resumo'!G48+'Quadro Resumo'!H48)*2</f>
        <v>1</v>
      </c>
      <c r="E49" s="356" t="n">
        <f aca="false">C49*D49</f>
        <v>4.8</v>
      </c>
      <c r="F49" s="351"/>
      <c r="G49" s="366"/>
      <c r="H49" s="332"/>
    </row>
    <row r="50" customFormat="false" ht="14.25" hidden="false" customHeight="true" outlineLevel="0" collapsed="false">
      <c r="A50" s="357" t="n">
        <v>46</v>
      </c>
      <c r="B50" s="358" t="s">
        <v>69</v>
      </c>
      <c r="C50" s="359" t="n">
        <v>3.2</v>
      </c>
      <c r="D50" s="356" t="n">
        <f aca="false">'Quadro Resumo'!E49+'Quadro Resumo'!F49+('Quadro Resumo'!G49+'Quadro Resumo'!H49)*2</f>
        <v>2</v>
      </c>
      <c r="E50" s="356" t="n">
        <f aca="false">C50*D50</f>
        <v>6.4</v>
      </c>
      <c r="F50" s="351"/>
      <c r="G50" s="351"/>
      <c r="H50" s="332"/>
    </row>
    <row r="51" customFormat="false" ht="14.25" hidden="false" customHeight="true" outlineLevel="0" collapsed="false">
      <c r="A51" s="357" t="n">
        <v>47</v>
      </c>
      <c r="B51" s="358" t="s">
        <v>70</v>
      </c>
      <c r="C51" s="359" t="n">
        <v>3.9</v>
      </c>
      <c r="D51" s="356" t="n">
        <f aca="false">'Quadro Resumo'!E50+'Quadro Resumo'!F50+('Quadro Resumo'!G50+'Quadro Resumo'!H50)*2</f>
        <v>2</v>
      </c>
      <c r="E51" s="356" t="n">
        <f aca="false">C51*D51</f>
        <v>7.8</v>
      </c>
      <c r="F51" s="351"/>
      <c r="G51" s="367"/>
      <c r="H51" s="332"/>
    </row>
    <row r="52" customFormat="false" ht="14.25" hidden="false" customHeight="true" outlineLevel="0" collapsed="false">
      <c r="A52" s="357" t="n">
        <v>48</v>
      </c>
      <c r="B52" s="358" t="s">
        <v>71</v>
      </c>
      <c r="C52" s="359" t="n">
        <v>3.3</v>
      </c>
      <c r="D52" s="356" t="n">
        <f aca="false">'Quadro Resumo'!E51+'Quadro Resumo'!F51+('Quadro Resumo'!G51+'Quadro Resumo'!H51)*2</f>
        <v>2</v>
      </c>
      <c r="E52" s="356" t="n">
        <f aca="false">C52*D52</f>
        <v>6.6</v>
      </c>
      <c r="F52" s="351"/>
      <c r="G52" s="367"/>
      <c r="H52" s="332"/>
    </row>
    <row r="53" customFormat="false" ht="14.25" hidden="false" customHeight="true" outlineLevel="0" collapsed="false">
      <c r="A53" s="357" t="n">
        <v>49</v>
      </c>
      <c r="B53" s="358" t="s">
        <v>72</v>
      </c>
      <c r="C53" s="359" t="n">
        <v>3.8</v>
      </c>
      <c r="D53" s="356" t="n">
        <f aca="false">'Quadro Resumo'!E52+'Quadro Resumo'!F52+('Quadro Resumo'!G52+'Quadro Resumo'!H52)*2</f>
        <v>2</v>
      </c>
      <c r="E53" s="356" t="n">
        <f aca="false">C53*D53</f>
        <v>7.6</v>
      </c>
      <c r="F53" s="368"/>
      <c r="G53" s="369"/>
    </row>
    <row r="54" customFormat="false" ht="14.25" hidden="false" customHeight="true" outlineLevel="0" collapsed="false">
      <c r="A54" s="357" t="n">
        <v>50</v>
      </c>
      <c r="B54" s="358" t="s">
        <v>73</v>
      </c>
      <c r="C54" s="359" t="n">
        <v>3.75</v>
      </c>
      <c r="D54" s="356" t="n">
        <f aca="false">'Quadro Resumo'!E53+'Quadro Resumo'!F53+('Quadro Resumo'!G53+'Quadro Resumo'!H53)*2</f>
        <v>2</v>
      </c>
      <c r="E54" s="356" t="n">
        <f aca="false">C54*D54</f>
        <v>7.5</v>
      </c>
      <c r="F54" s="351"/>
      <c r="G54" s="367"/>
      <c r="H54" s="332"/>
    </row>
    <row r="55" customFormat="false" ht="14.25" hidden="false" customHeight="true" outlineLevel="0" collapsed="false">
      <c r="A55" s="357" t="n">
        <v>51</v>
      </c>
      <c r="B55" s="358" t="s">
        <v>74</v>
      </c>
      <c r="C55" s="359" t="n">
        <v>4.4</v>
      </c>
      <c r="D55" s="356" t="n">
        <f aca="false">'Quadro Resumo'!E54+'Quadro Resumo'!F54+('Quadro Resumo'!G54+'Quadro Resumo'!H54)*2</f>
        <v>1</v>
      </c>
      <c r="E55" s="356" t="n">
        <f aca="false">C55*D55</f>
        <v>4.4</v>
      </c>
      <c r="F55" s="351"/>
      <c r="G55" s="367"/>
      <c r="H55" s="332"/>
    </row>
    <row r="56" customFormat="false" ht="14.25" hidden="false" customHeight="true" outlineLevel="0" collapsed="false">
      <c r="A56" s="357" t="n">
        <v>52</v>
      </c>
      <c r="B56" s="358" t="s">
        <v>817</v>
      </c>
      <c r="C56" s="359" t="n">
        <v>4.1</v>
      </c>
      <c r="D56" s="356" t="n">
        <f aca="false">'Quadro Resumo'!E55+'Quadro Resumo'!F55+('Quadro Resumo'!G55+'Quadro Resumo'!H55)*2</f>
        <v>2</v>
      </c>
      <c r="E56" s="356" t="n">
        <f aca="false">C56*D56</f>
        <v>8.2</v>
      </c>
      <c r="F56" s="351"/>
      <c r="G56" s="351"/>
      <c r="H56" s="332"/>
    </row>
    <row r="57" customFormat="false" ht="14.25" hidden="false" customHeight="true" outlineLevel="0" collapsed="false">
      <c r="A57" s="357" t="n">
        <v>53</v>
      </c>
      <c r="B57" s="358" t="s">
        <v>818</v>
      </c>
      <c r="C57" s="359" t="n">
        <v>4.75</v>
      </c>
      <c r="D57" s="356" t="n">
        <f aca="false">'Quadro Resumo'!E56+'Quadro Resumo'!F56+('Quadro Resumo'!G56+'Quadro Resumo'!H56)*2</f>
        <v>3</v>
      </c>
      <c r="E57" s="356" t="n">
        <f aca="false">C57*D57</f>
        <v>14.25</v>
      </c>
      <c r="F57" s="351"/>
      <c r="G57" s="351"/>
      <c r="H57" s="332"/>
    </row>
    <row r="58" customFormat="false" ht="14.25" hidden="false" customHeight="true" outlineLevel="0" collapsed="false">
      <c r="A58" s="44"/>
      <c r="B58" s="44"/>
      <c r="C58" s="44"/>
      <c r="D58" s="370" t="n">
        <f aca="false">SUM(D5:D57)-D29-D42</f>
        <v>92</v>
      </c>
      <c r="E58" s="370" t="n">
        <f aca="false">SUM(E5:E57)-E29-E42</f>
        <v>325.78</v>
      </c>
      <c r="F58" s="351"/>
      <c r="G58" s="332"/>
      <c r="H58" s="332"/>
    </row>
  </sheetData>
  <mergeCells count="4">
    <mergeCell ref="A1:E1"/>
    <mergeCell ref="A2:B2"/>
    <mergeCell ref="C2:E2"/>
    <mergeCell ref="A4:D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LibreOffice/7.3.5.2$Windows_X86_64 LibreOffice_project/184fe81b8c8c30d8b5082578aee2fed2ea847c01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2021-02-09T19:12:40Z</dcterms:created>
  <dc:creator>Lucas Santoro Sanches</dc:creator>
  <dc:description/>
  <dc:language>pt-BR</dc:language>
  <cp:lastModifiedBy>inss</cp:lastModifiedBy>
  <dcterms:modified xsi:type="dcterms:W3CDTF">2024-09-25T13:46:03Z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